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2"/>
  </bookViews>
  <sheets>
    <sheet name="Burn Stability" sheetId="1" r:id="rId1"/>
    <sheet name="Stability of MOI Cases" sheetId="2" r:id="rId2"/>
    <sheet name="Module List" sheetId="3" r:id="rId3"/>
  </sheets>
  <definedNames>
    <definedName name="Dmotor">'Burn Stability'!$B$12</definedName>
    <definedName name="g">'Burn Stability'!$B$8</definedName>
    <definedName name="Iperp">'Burn Stability'!$B$10</definedName>
    <definedName name="Ixx">'Burn Stability'!$B$10</definedName>
    <definedName name="Izz">'Burn Stability'!$B$16</definedName>
    <definedName name="L">'Burn Stability'!$B$9</definedName>
    <definedName name="Lmotor">'Burn Stability'!$B$11</definedName>
    <definedName name="m">'Burn Stability'!$B$7</definedName>
    <definedName name="nu">'Burn Stability'!$B$15</definedName>
    <definedName name="offset">'Burn Stability'!$B$14</definedName>
    <definedName name="omega_degpermin">'Burn Stability'!$B$19</definedName>
    <definedName name="omega_degpersec">'Burn Stability'!$B$18</definedName>
    <definedName name="omega_radpersec">'Burn Stability'!$B$17</definedName>
    <definedName name="omega_rpm">'Burn Stability'!$B$20</definedName>
    <definedName name="_xlnm.Print_Area" localSheetId="0">'Burn Stability'!$A$1:$E$22</definedName>
    <definedName name="_xlnm.Print_Area" localSheetId="2">'Module List'!$A$1:$K$36</definedName>
    <definedName name="_xlnm.Print_Area" localSheetId="1">'Stability of MOI Cases'!$A$1:$S$73</definedName>
    <definedName name="theta">'Burn Stability'!$B$13</definedName>
  </definedNames>
  <calcPr fullCalcOnLoad="1"/>
</workbook>
</file>

<file path=xl/sharedStrings.xml><?xml version="1.0" encoding="utf-8"?>
<sst xmlns="http://schemas.openxmlformats.org/spreadsheetml/2006/main" count="380" uniqueCount="165">
  <si>
    <t>m</t>
  </si>
  <si>
    <t>g</t>
  </si>
  <si>
    <t>L</t>
  </si>
  <si>
    <t>theta</t>
  </si>
  <si>
    <t>nu</t>
  </si>
  <si>
    <t>Izz</t>
  </si>
  <si>
    <t>omega</t>
  </si>
  <si>
    <t>kg</t>
  </si>
  <si>
    <t>mm</t>
  </si>
  <si>
    <t>degrees/sec</t>
  </si>
  <si>
    <t>RPM</t>
  </si>
  <si>
    <t>degrees/min</t>
  </si>
  <si>
    <t>Iperp</t>
  </si>
  <si>
    <t>kg*m^2</t>
  </si>
  <si>
    <t>offset</t>
  </si>
  <si>
    <t>radians</t>
  </si>
  <si>
    <t xml:space="preserve">greater of 2 perpendicular axes; </t>
  </si>
  <si>
    <t>N/m</t>
  </si>
  <si>
    <t>Lmotor</t>
  </si>
  <si>
    <t>Dmotor</t>
  </si>
  <si>
    <t>length of motor</t>
  </si>
  <si>
    <t>lateral displacement along length of motor</t>
  </si>
  <si>
    <t>motor angular error</t>
  </si>
  <si>
    <t>200N motor divided by mass</t>
  </si>
  <si>
    <t>cg off of line thrust axis</t>
  </si>
  <si>
    <t>inefficiency 2 terms: thrust from cg and thrust axis</t>
  </si>
  <si>
    <t>radians/sec</t>
  </si>
  <si>
    <t>Inputs</t>
  </si>
  <si>
    <t>Calculations</t>
  </si>
  <si>
    <t>Legend:</t>
  </si>
  <si>
    <t>=2*SQRT(m*g*L*Iperp*SIN(nu)*COS(theta))/Izz</t>
  </si>
  <si>
    <t>sqrt( m N/m m kgm^2 ) / kgm^2</t>
  </si>
  <si>
    <t>This shows that Karl's typical 20-25 RPM is reasonable. The above calc is not conservative, and needs a factor.</t>
  </si>
  <si>
    <t>Size</t>
  </si>
  <si>
    <t>Engineer</t>
  </si>
  <si>
    <t>BCR</t>
  </si>
  <si>
    <t>125x180</t>
  </si>
  <si>
    <t>X</t>
  </si>
  <si>
    <t>McGwier</t>
  </si>
  <si>
    <t>IHU3</t>
  </si>
  <si>
    <t>Green</t>
  </si>
  <si>
    <t>McFadin</t>
  </si>
  <si>
    <t>U/L-RX</t>
  </si>
  <si>
    <t>Sensors</t>
  </si>
  <si>
    <t>Cameras</t>
  </si>
  <si>
    <t>ACP 1</t>
  </si>
  <si>
    <t>ACP 2</t>
  </si>
  <si>
    <t>125 x 180 HS</t>
  </si>
  <si>
    <t>+Y1</t>
  </si>
  <si>
    <t>-Y2</t>
  </si>
  <si>
    <t>Y</t>
  </si>
  <si>
    <t>SDX 1</t>
  </si>
  <si>
    <t>SDX 2</t>
  </si>
  <si>
    <t>125 x 180</t>
  </si>
  <si>
    <t>McFadin/Bloom</t>
  </si>
  <si>
    <t>SEU</t>
  </si>
  <si>
    <t>LIU</t>
  </si>
  <si>
    <t>PFA</t>
  </si>
  <si>
    <t>Batteries</t>
  </si>
  <si>
    <t>Kasal</t>
  </si>
  <si>
    <t>Torque &amp; Pyro</t>
  </si>
  <si>
    <t>Cmd L RX</t>
  </si>
  <si>
    <t>S Tx</t>
  </si>
  <si>
    <t>V Tx</t>
  </si>
  <si>
    <t>TSFR 1</t>
  </si>
  <si>
    <t>TSFR 2</t>
  </si>
  <si>
    <t>TSFR 3</t>
  </si>
  <si>
    <t>Astrium</t>
  </si>
  <si>
    <t>Eagle Module &amp; Payload List, 10-18-06</t>
  </si>
  <si>
    <t>McGwier motor burn stability calcs. 10-18-06.</t>
  </si>
  <si>
    <t>Power</t>
  </si>
  <si>
    <t>80 W in at 60%  eff</t>
  </si>
  <si>
    <t>50 W in at 75%</t>
  </si>
  <si>
    <t>Physical Properties for MOI Assembly1 – No Solar Panels Deployed</t>
  </si>
  <si>
    <t>General Properties:</t>
  </si>
  <si>
    <t>Mass:</t>
  </si>
  <si>
    <t>1.1412692E+002 kg</t>
  </si>
  <si>
    <t>Center of Gravity:</t>
  </si>
  <si>
    <t>X:</t>
  </si>
  <si>
    <t>1.0046349E-002 mm</t>
  </si>
  <si>
    <t>Y:</t>
  </si>
  <si>
    <t>-1.1104406E-002 mm</t>
  </si>
  <si>
    <t>Z:</t>
  </si>
  <si>
    <t>-7.2858698E+000 mm</t>
  </si>
  <si>
    <t>Mass Moments of Inertia with respect to Center of Gravity(Calculated using negative integral)</t>
  </si>
  <si>
    <t xml:space="preserve">Ixx        </t>
  </si>
  <si>
    <t>9.3675594E+006 kg mm^2</t>
  </si>
  <si>
    <t xml:space="preserve">Iyx Iyy    </t>
  </si>
  <si>
    <t>6.9664053E+005 kg mm^2</t>
  </si>
  <si>
    <t>7.1383443E+006 kg mm^2</t>
  </si>
  <si>
    <t>Izx Izy Izz</t>
  </si>
  <si>
    <t>-4.4020315E+001 kg mm^2</t>
  </si>
  <si>
    <t>-8.9633897E+001 kg mm^2</t>
  </si>
  <si>
    <t>1.2370734E+007 kg mm^2</t>
  </si>
  <si>
    <t>Izz/Ixx</t>
  </si>
  <si>
    <t>1.3206</t>
  </si>
  <si>
    <t>kg mm^2</t>
  </si>
  <si>
    <t>--------------------------</t>
  </si>
  <si>
    <t>Physical Properties for MOI Assembly1 - Three Solar Panels Deployed</t>
  </si>
  <si>
    <t>1.6789305E+000 mm</t>
  </si>
  <si>
    <t>9.5242633E-001 mm</t>
  </si>
  <si>
    <t>-7.3552706E+000 mm</t>
  </si>
  <si>
    <t>9.5922733E+006 kg mm^2</t>
  </si>
  <si>
    <t>8.2231477E+005 kg mm^2</t>
  </si>
  <si>
    <t>7.7975561E+006 kg mm^2</t>
  </si>
  <si>
    <t>3.5012912E+003 kg mm^2</t>
  </si>
  <si>
    <t>1.9573866E+003 kg mm^2</t>
  </si>
  <si>
    <t>1.3239741E+007 kg mm^2</t>
  </si>
  <si>
    <t>1.3803</t>
  </si>
  <si>
    <t>Physical Properties for MOI Assembly1 - Four Solar Panels Deployed</t>
  </si>
  <si>
    <t>-7.3784042E+000 mm</t>
  </si>
  <si>
    <t>9.6673157E+006 kg mm^2</t>
  </si>
  <si>
    <t>8.0177220E+006 kg mm^2</t>
  </si>
  <si>
    <t>-4.4126411E+001 kg mm^2</t>
  </si>
  <si>
    <t>-8.9516627E+001 kg mm^2</t>
  </si>
  <si>
    <t>1.3529977E+007 kg mm^2</t>
  </si>
  <si>
    <t>1.3996</t>
  </si>
  <si>
    <t>Physical Properties for MOI Assembly1 - Six Solar Panels Deployed</t>
  </si>
  <si>
    <t>-6.2900315E+000 mm</t>
  </si>
  <si>
    <t>9.9713543E+006 kg mm^2</t>
  </si>
  <si>
    <t>8.0171092E+006 kg mm^2</t>
  </si>
  <si>
    <t>-4.2878528E+001 kg mm^2</t>
  </si>
  <si>
    <t>-9.0895934E+001 kg mm^2</t>
  </si>
  <si>
    <t>1.3834628E+007 kg mm^2</t>
  </si>
  <si>
    <t>1.3874</t>
  </si>
  <si>
    <t>Physical Properties for MOI Assembly1 – Four Solar Panels Deployed, No Propellant</t>
  </si>
  <si>
    <t>5.5203058E+001 kg</t>
  </si>
  <si>
    <t>2.0769843E-002 mm</t>
  </si>
  <si>
    <t>-6.6876415E-003 mm</t>
  </si>
  <si>
    <t>-1.6108050E+001 mm</t>
  </si>
  <si>
    <t>8.3154740E+006 kg mm^2</t>
  </si>
  <si>
    <t>6.9664054E+005 kg mm^2</t>
  </si>
  <si>
    <t>6.6658804E+006 kg mm^2</t>
  </si>
  <si>
    <t>-5.4135464E+001 kg mm^2</t>
  </si>
  <si>
    <t>-9.3639130E+001 kg mm^2</t>
  </si>
  <si>
    <t>1.2187035E+007 kg mm^2</t>
  </si>
  <si>
    <t>1.4656</t>
  </si>
  <si>
    <t>Mass</t>
  </si>
  <si>
    <t>CMx</t>
  </si>
  <si>
    <t>CMy</t>
  </si>
  <si>
    <t>CMz</t>
  </si>
  <si>
    <t>Inertia</t>
  </si>
  <si>
    <t>kg m^2</t>
  </si>
  <si>
    <t>Constants</t>
  </si>
  <si>
    <t>Case 1: No Solar Panels Deployed</t>
  </si>
  <si>
    <t>=ATAN(Dmotor/Lmotor)</t>
  </si>
  <si>
    <t>=ASIN(offset/L)+theta</t>
  </si>
  <si>
    <t>rad/sec</t>
  </si>
  <si>
    <t>=200N motor divided by mass</t>
  </si>
  <si>
    <t>deg/sec</t>
  </si>
  <si>
    <t>deg/min</t>
  </si>
  <si>
    <t>Case 2: Three Solar Panels Deployed</t>
  </si>
  <si>
    <t>Case 3: Four Solar Panels Deployed</t>
  </si>
  <si>
    <t>Case 4: Six Solar Panels Deployed</t>
  </si>
  <si>
    <t>Case 5: Four Solar Panels Deployed, No Propellant</t>
  </si>
  <si>
    <t>Stability Spin Rate (RPM)</t>
  </si>
  <si>
    <t>Mass (kg)</t>
  </si>
  <si>
    <t>Case</t>
  </si>
  <si>
    <t>Imported from Dick's Inventor output (values &amp; units), early Oct 2006.</t>
  </si>
  <si>
    <t>Summary Table</t>
  </si>
  <si>
    <t>Use this sheet to try directly enter values.</t>
  </si>
  <si>
    <t>&lt;-- Show highlighting? (1/0)</t>
  </si>
  <si>
    <t>Dissip.</t>
  </si>
  <si>
    <t>Name/Fctn.</t>
  </si>
  <si>
    <t>Lctn.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</si>
</sst>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\ \W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1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5" xfId="0" applyBorder="1" applyAlignment="1" quotePrefix="1">
      <alignment/>
    </xf>
    <xf numFmtId="0" fontId="0" fillId="0" borderId="0" xfId="0" applyFont="1" applyBorder="1" applyAlignment="1" quotePrefix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 quotePrefix="1">
      <alignment/>
    </xf>
    <xf numFmtId="0" fontId="0" fillId="0" borderId="7" xfId="0" applyBorder="1" applyAlignment="1" quotePrefix="1">
      <alignment/>
    </xf>
    <xf numFmtId="0" fontId="0" fillId="3" borderId="0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8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 quotePrefix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FF99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21</xdr:row>
      <xdr:rowOff>114300</xdr:rowOff>
    </xdr:from>
    <xdr:to>
      <xdr:col>2</xdr:col>
      <xdr:colOff>809625</xdr:colOff>
      <xdr:row>33</xdr:row>
      <xdr:rowOff>95250</xdr:rowOff>
    </xdr:to>
    <xdr:grpSp>
      <xdr:nvGrpSpPr>
        <xdr:cNvPr id="1" name="Group 55"/>
        <xdr:cNvGrpSpPr>
          <a:grpSpLocks/>
        </xdr:cNvGrpSpPr>
      </xdr:nvGrpSpPr>
      <xdr:grpSpPr>
        <a:xfrm>
          <a:off x="266700" y="4667250"/>
          <a:ext cx="2371725" cy="1924050"/>
          <a:chOff x="99" y="435"/>
          <a:chExt cx="318" cy="202"/>
        </a:xfrm>
        <a:solidFill>
          <a:srgbClr val="FFFFFF"/>
        </a:solidFill>
      </xdr:grpSpPr>
      <xdr:sp>
        <xdr:nvSpPr>
          <xdr:cNvPr id="2" name="Rectangle 54"/>
          <xdr:cNvSpPr>
            <a:spLocks/>
          </xdr:cNvSpPr>
        </xdr:nvSpPr>
        <xdr:spPr>
          <a:xfrm>
            <a:off x="99" y="435"/>
            <a:ext cx="318" cy="2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6"/>
          <xdr:cNvGrpSpPr>
            <a:grpSpLocks/>
          </xdr:cNvGrpSpPr>
        </xdr:nvGrpSpPr>
        <xdr:grpSpPr>
          <a:xfrm>
            <a:off x="121" y="450"/>
            <a:ext cx="277" cy="170"/>
            <a:chOff x="373" y="404"/>
            <a:chExt cx="277" cy="170"/>
          </a:xfrm>
          <a:solidFill>
            <a:srgbClr val="FFFFFF"/>
          </a:solidFill>
        </xdr:grpSpPr>
        <xdr:sp>
          <xdr:nvSpPr>
            <xdr:cNvPr id="4" name="Line 1"/>
            <xdr:cNvSpPr>
              <a:spLocks/>
            </xdr:cNvSpPr>
          </xdr:nvSpPr>
          <xdr:spPr>
            <a:xfrm>
              <a:off x="439" y="404"/>
              <a:ext cx="143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2"/>
            <xdr:cNvSpPr>
              <a:spLocks/>
            </xdr:cNvSpPr>
          </xdr:nvSpPr>
          <xdr:spPr>
            <a:xfrm>
              <a:off x="585" y="405"/>
              <a:ext cx="64" cy="8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3"/>
            <xdr:cNvSpPr>
              <a:spLocks/>
            </xdr:cNvSpPr>
          </xdr:nvSpPr>
          <xdr:spPr>
            <a:xfrm flipH="1">
              <a:off x="583" y="496"/>
              <a:ext cx="67" cy="78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4"/>
            <xdr:cNvSpPr>
              <a:spLocks/>
            </xdr:cNvSpPr>
          </xdr:nvSpPr>
          <xdr:spPr>
            <a:xfrm flipH="1">
              <a:off x="434" y="573"/>
              <a:ext cx="147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"/>
            <xdr:cNvSpPr>
              <a:spLocks/>
            </xdr:cNvSpPr>
          </xdr:nvSpPr>
          <xdr:spPr>
            <a:xfrm flipH="1" flipV="1">
              <a:off x="375" y="493"/>
              <a:ext cx="56" cy="8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6"/>
            <xdr:cNvSpPr>
              <a:spLocks/>
            </xdr:cNvSpPr>
          </xdr:nvSpPr>
          <xdr:spPr>
            <a:xfrm flipV="1">
              <a:off x="373" y="404"/>
              <a:ext cx="64" cy="9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7"/>
            <xdr:cNvSpPr>
              <a:spLocks/>
            </xdr:cNvSpPr>
          </xdr:nvSpPr>
          <xdr:spPr>
            <a:xfrm>
              <a:off x="528" y="49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8"/>
            <xdr:cNvSpPr>
              <a:spLocks/>
            </xdr:cNvSpPr>
          </xdr:nvSpPr>
          <xdr:spPr>
            <a:xfrm>
              <a:off x="529" y="498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9"/>
            <xdr:cNvSpPr>
              <a:spLocks/>
            </xdr:cNvSpPr>
          </xdr:nvSpPr>
          <xdr:spPr>
            <a:xfrm flipH="1">
              <a:off x="580" y="410"/>
              <a:ext cx="1" cy="1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0"/>
            <xdr:cNvSpPr>
              <a:spLocks/>
            </xdr:cNvSpPr>
          </xdr:nvSpPr>
          <xdr:spPr>
            <a:xfrm flipH="1">
              <a:off x="439" y="413"/>
              <a:ext cx="0" cy="15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1"/>
            <xdr:cNvSpPr>
              <a:spLocks/>
            </xdr:cNvSpPr>
          </xdr:nvSpPr>
          <xdr:spPr>
            <a:xfrm>
              <a:off x="445" y="551"/>
              <a:ext cx="1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2"/>
            <xdr:cNvSpPr>
              <a:spLocks/>
            </xdr:cNvSpPr>
          </xdr:nvSpPr>
          <xdr:spPr>
            <a:xfrm>
              <a:off x="444" y="424"/>
              <a:ext cx="1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TextBox 13"/>
            <xdr:cNvSpPr txBox="1">
              <a:spLocks noChangeArrowheads="1"/>
            </xdr:cNvSpPr>
          </xdr:nvSpPr>
          <xdr:spPr>
            <a:xfrm>
              <a:off x="536" y="527"/>
              <a:ext cx="23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+X</a:t>
              </a:r>
            </a:p>
          </xdr:txBody>
        </xdr:sp>
        <xdr:sp>
          <xdr:nvSpPr>
            <xdr:cNvPr id="17" name="TextBox 14"/>
            <xdr:cNvSpPr txBox="1">
              <a:spLocks noChangeArrowheads="1"/>
            </xdr:cNvSpPr>
          </xdr:nvSpPr>
          <xdr:spPr>
            <a:xfrm>
              <a:off x="550" y="472"/>
              <a:ext cx="25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+Y</a:t>
              </a:r>
            </a:p>
          </xdr:txBody>
        </xdr:sp>
      </xdr:grpSp>
    </xdr:grpSp>
    <xdr:clientData/>
  </xdr:twoCellAnchor>
  <xdr:oneCellAnchor>
    <xdr:from>
      <xdr:col>4</xdr:col>
      <xdr:colOff>200025</xdr:colOff>
      <xdr:row>23</xdr:row>
      <xdr:rowOff>47625</xdr:rowOff>
    </xdr:from>
    <xdr:ext cx="2000250" cy="1714500"/>
    <xdr:grpSp>
      <xdr:nvGrpSpPr>
        <xdr:cNvPr id="18" name="Group 41"/>
        <xdr:cNvGrpSpPr>
          <a:grpSpLocks/>
        </xdr:cNvGrpSpPr>
      </xdr:nvGrpSpPr>
      <xdr:grpSpPr>
        <a:xfrm>
          <a:off x="3857625" y="4924425"/>
          <a:ext cx="2000250" cy="1714500"/>
          <a:chOff x="787" y="145"/>
          <a:chExt cx="210" cy="180"/>
        </a:xfrm>
        <a:solidFill>
          <a:srgbClr val="FFFFFF"/>
        </a:solidFill>
      </xdr:grpSpPr>
      <xdr:sp>
        <xdr:nvSpPr>
          <xdr:cNvPr id="19" name="Rectangle 15"/>
          <xdr:cNvSpPr>
            <a:spLocks/>
          </xdr:cNvSpPr>
        </xdr:nvSpPr>
        <xdr:spPr>
          <a:xfrm rot="16200000">
            <a:off x="804" y="158"/>
            <a:ext cx="170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+X</a:t>
            </a:r>
          </a:p>
        </xdr:txBody>
      </xdr:sp>
      <xdr:sp>
        <xdr:nvSpPr>
          <xdr:cNvPr id="20" name="Rectangle 16"/>
          <xdr:cNvSpPr>
            <a:spLocks/>
          </xdr:cNvSpPr>
        </xdr:nvSpPr>
        <xdr:spPr>
          <a:xfrm rot="16200000">
            <a:off x="816" y="261"/>
            <a:ext cx="60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3,1</a:t>
            </a:r>
          </a:p>
        </xdr:txBody>
      </xdr:sp>
      <xdr:sp>
        <xdr:nvSpPr>
          <xdr:cNvPr id="21" name="Rectangle 17"/>
          <xdr:cNvSpPr>
            <a:spLocks/>
          </xdr:cNvSpPr>
        </xdr:nvSpPr>
        <xdr:spPr>
          <a:xfrm rot="16200000">
            <a:off x="899" y="260"/>
            <a:ext cx="62" cy="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3,2</a:t>
            </a:r>
          </a:p>
        </xdr:txBody>
      </xdr:sp>
      <xdr:sp>
        <xdr:nvSpPr>
          <xdr:cNvPr id="22" name="Rectangle 19"/>
          <xdr:cNvSpPr>
            <a:spLocks/>
          </xdr:cNvSpPr>
        </xdr:nvSpPr>
        <xdr:spPr>
          <a:xfrm rot="16200000">
            <a:off x="816" y="214"/>
            <a:ext cx="60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2,1</a:t>
            </a:r>
          </a:p>
        </xdr:txBody>
      </xdr:sp>
      <xdr:sp>
        <xdr:nvSpPr>
          <xdr:cNvPr id="23" name="Rectangle 20"/>
          <xdr:cNvSpPr>
            <a:spLocks/>
          </xdr:cNvSpPr>
        </xdr:nvSpPr>
        <xdr:spPr>
          <a:xfrm rot="16200000">
            <a:off x="899" y="213"/>
            <a:ext cx="62" cy="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2,2</a:t>
            </a:r>
          </a:p>
        </xdr:txBody>
      </xdr:sp>
      <xdr:sp>
        <xdr:nvSpPr>
          <xdr:cNvPr id="24" name="Rectangle 21"/>
          <xdr:cNvSpPr>
            <a:spLocks/>
          </xdr:cNvSpPr>
        </xdr:nvSpPr>
        <xdr:spPr>
          <a:xfrm rot="16200000">
            <a:off x="816" y="168"/>
            <a:ext cx="62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1,1</a:t>
            </a:r>
          </a:p>
        </xdr:txBody>
      </xdr:sp>
      <xdr:sp>
        <xdr:nvSpPr>
          <xdr:cNvPr id="25" name="Rectangle 22"/>
          <xdr:cNvSpPr>
            <a:spLocks/>
          </xdr:cNvSpPr>
        </xdr:nvSpPr>
        <xdr:spPr>
          <a:xfrm rot="16200000">
            <a:off x="899" y="167"/>
            <a:ext cx="63" cy="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1,2</a:t>
            </a:r>
          </a:p>
        </xdr:txBody>
      </xdr:sp>
      <xdr:sp>
        <xdr:nvSpPr>
          <xdr:cNvPr id="26" name="TextBox 37"/>
          <xdr:cNvSpPr txBox="1">
            <a:spLocks noChangeArrowheads="1"/>
          </xdr:cNvSpPr>
        </xdr:nvSpPr>
        <xdr:spPr>
          <a:xfrm>
            <a:off x="880" y="306"/>
            <a:ext cx="1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-Z</a:t>
            </a:r>
          </a:p>
        </xdr:txBody>
      </xdr:sp>
      <xdr:sp>
        <xdr:nvSpPr>
          <xdr:cNvPr id="27" name="TextBox 38"/>
          <xdr:cNvSpPr txBox="1">
            <a:spLocks noChangeArrowheads="1"/>
          </xdr:cNvSpPr>
        </xdr:nvSpPr>
        <xdr:spPr>
          <a:xfrm>
            <a:off x="787" y="226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-Y</a:t>
            </a:r>
          </a:p>
        </xdr:txBody>
      </xdr:sp>
      <xdr:sp>
        <xdr:nvSpPr>
          <xdr:cNvPr id="28" name="TextBox 39"/>
          <xdr:cNvSpPr txBox="1">
            <a:spLocks noChangeArrowheads="1"/>
          </xdr:cNvSpPr>
        </xdr:nvSpPr>
        <xdr:spPr>
          <a:xfrm>
            <a:off x="882" y="145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+Z</a:t>
            </a:r>
          </a:p>
        </xdr:txBody>
      </xdr:sp>
      <xdr:sp>
        <xdr:nvSpPr>
          <xdr:cNvPr id="29" name="TextBox 40"/>
          <xdr:cNvSpPr txBox="1">
            <a:spLocks noChangeArrowheads="1"/>
          </xdr:cNvSpPr>
        </xdr:nvSpPr>
        <xdr:spPr>
          <a:xfrm>
            <a:off x="975" y="227"/>
            <a:ext cx="2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+Y</a:t>
            </a:r>
          </a:p>
        </xdr:txBody>
      </xdr:sp>
    </xdr:grpSp>
    <xdr:clientData/>
  </xdr:oneCellAnchor>
  <xdr:oneCellAnchor>
    <xdr:from>
      <xdr:col>7</xdr:col>
      <xdr:colOff>609600</xdr:colOff>
      <xdr:row>23</xdr:row>
      <xdr:rowOff>66675</xdr:rowOff>
    </xdr:from>
    <xdr:ext cx="1981200" cy="1714500"/>
    <xdr:grpSp>
      <xdr:nvGrpSpPr>
        <xdr:cNvPr id="30" name="Group 42"/>
        <xdr:cNvGrpSpPr>
          <a:grpSpLocks/>
        </xdr:cNvGrpSpPr>
      </xdr:nvGrpSpPr>
      <xdr:grpSpPr>
        <a:xfrm>
          <a:off x="6076950" y="4943475"/>
          <a:ext cx="1981200" cy="1714500"/>
          <a:chOff x="787" y="145"/>
          <a:chExt cx="208" cy="180"/>
        </a:xfrm>
        <a:solidFill>
          <a:srgbClr val="FFFFFF"/>
        </a:solidFill>
      </xdr:grpSpPr>
      <xdr:sp>
        <xdr:nvSpPr>
          <xdr:cNvPr id="31" name="Rectangle 43"/>
          <xdr:cNvSpPr>
            <a:spLocks/>
          </xdr:cNvSpPr>
        </xdr:nvSpPr>
        <xdr:spPr>
          <a:xfrm rot="16200000">
            <a:off x="804" y="158"/>
            <a:ext cx="170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-X</a:t>
            </a:r>
          </a:p>
        </xdr:txBody>
      </xdr:sp>
      <xdr:sp>
        <xdr:nvSpPr>
          <xdr:cNvPr id="32" name="Rectangle 44"/>
          <xdr:cNvSpPr>
            <a:spLocks/>
          </xdr:cNvSpPr>
        </xdr:nvSpPr>
        <xdr:spPr>
          <a:xfrm rot="16200000">
            <a:off x="816" y="261"/>
            <a:ext cx="60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3,1</a:t>
            </a:r>
          </a:p>
        </xdr:txBody>
      </xdr:sp>
      <xdr:sp>
        <xdr:nvSpPr>
          <xdr:cNvPr id="33" name="Rectangle 45"/>
          <xdr:cNvSpPr>
            <a:spLocks/>
          </xdr:cNvSpPr>
        </xdr:nvSpPr>
        <xdr:spPr>
          <a:xfrm rot="16200000">
            <a:off x="899" y="260"/>
            <a:ext cx="62" cy="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3,2</a:t>
            </a:r>
          </a:p>
        </xdr:txBody>
      </xdr:sp>
      <xdr:sp>
        <xdr:nvSpPr>
          <xdr:cNvPr id="34" name="Rectangle 46"/>
          <xdr:cNvSpPr>
            <a:spLocks/>
          </xdr:cNvSpPr>
        </xdr:nvSpPr>
        <xdr:spPr>
          <a:xfrm rot="16200000">
            <a:off x="816" y="214"/>
            <a:ext cx="60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2,1</a:t>
            </a:r>
          </a:p>
        </xdr:txBody>
      </xdr:sp>
      <xdr:sp>
        <xdr:nvSpPr>
          <xdr:cNvPr id="35" name="Rectangle 47"/>
          <xdr:cNvSpPr>
            <a:spLocks/>
          </xdr:cNvSpPr>
        </xdr:nvSpPr>
        <xdr:spPr>
          <a:xfrm rot="16200000">
            <a:off x="899" y="213"/>
            <a:ext cx="62" cy="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2,2</a:t>
            </a:r>
          </a:p>
        </xdr:txBody>
      </xdr:sp>
      <xdr:sp>
        <xdr:nvSpPr>
          <xdr:cNvPr id="36" name="Rectangle 48"/>
          <xdr:cNvSpPr>
            <a:spLocks/>
          </xdr:cNvSpPr>
        </xdr:nvSpPr>
        <xdr:spPr>
          <a:xfrm rot="16200000">
            <a:off x="816" y="168"/>
            <a:ext cx="62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1,1</a:t>
            </a:r>
          </a:p>
        </xdr:txBody>
      </xdr:sp>
      <xdr:sp>
        <xdr:nvSpPr>
          <xdr:cNvPr id="37" name="Rectangle 49"/>
          <xdr:cNvSpPr>
            <a:spLocks/>
          </xdr:cNvSpPr>
        </xdr:nvSpPr>
        <xdr:spPr>
          <a:xfrm rot="16200000">
            <a:off x="899" y="167"/>
            <a:ext cx="63" cy="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1,2</a:t>
            </a:r>
          </a:p>
        </xdr:txBody>
      </xdr:sp>
      <xdr:sp>
        <xdr:nvSpPr>
          <xdr:cNvPr id="38" name="TextBox 50"/>
          <xdr:cNvSpPr txBox="1">
            <a:spLocks noChangeArrowheads="1"/>
          </xdr:cNvSpPr>
        </xdr:nvSpPr>
        <xdr:spPr>
          <a:xfrm>
            <a:off x="880" y="306"/>
            <a:ext cx="1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-Z</a:t>
            </a:r>
          </a:p>
        </xdr:txBody>
      </xdr:sp>
      <xdr:sp>
        <xdr:nvSpPr>
          <xdr:cNvPr id="39" name="TextBox 51"/>
          <xdr:cNvSpPr txBox="1">
            <a:spLocks noChangeArrowheads="1"/>
          </xdr:cNvSpPr>
        </xdr:nvSpPr>
        <xdr:spPr>
          <a:xfrm>
            <a:off x="787" y="226"/>
            <a:ext cx="2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+Y</a:t>
            </a:r>
          </a:p>
        </xdr:txBody>
      </xdr:sp>
      <xdr:sp>
        <xdr:nvSpPr>
          <xdr:cNvPr id="40" name="TextBox 52"/>
          <xdr:cNvSpPr txBox="1">
            <a:spLocks noChangeArrowheads="1"/>
          </xdr:cNvSpPr>
        </xdr:nvSpPr>
        <xdr:spPr>
          <a:xfrm>
            <a:off x="882" y="145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+Z</a:t>
            </a:r>
          </a:p>
        </xdr:txBody>
      </xdr:sp>
      <xdr:sp>
        <xdr:nvSpPr>
          <xdr:cNvPr id="41" name="TextBox 53"/>
          <xdr:cNvSpPr txBox="1">
            <a:spLocks noChangeArrowheads="1"/>
          </xdr:cNvSpPr>
        </xdr:nvSpPr>
        <xdr:spPr>
          <a:xfrm>
            <a:off x="975" y="227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-Y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E22"/>
    </sheetView>
  </sheetViews>
  <sheetFormatPr defaultColWidth="9.140625" defaultRowHeight="12.75"/>
  <cols>
    <col min="2" max="2" width="11.140625" style="0" customWidth="1"/>
    <col min="3" max="3" width="11.57421875" style="0" customWidth="1"/>
    <col min="4" max="4" width="44.8515625" style="0" customWidth="1"/>
    <col min="5" max="5" width="29.57421875" style="0" customWidth="1"/>
  </cols>
  <sheetData>
    <row r="1" spans="1:5" ht="12.75">
      <c r="A1" s="54" t="s">
        <v>69</v>
      </c>
      <c r="B1" s="4"/>
      <c r="C1" s="4"/>
      <c r="D1" s="4"/>
      <c r="E1" s="5"/>
    </row>
    <row r="2" spans="1:5" ht="12.75">
      <c r="A2" s="9" t="s">
        <v>160</v>
      </c>
      <c r="B2" s="7"/>
      <c r="C2" s="7"/>
      <c r="D2" s="7"/>
      <c r="E2" s="8"/>
    </row>
    <row r="3" spans="1:5" ht="12.75">
      <c r="A3" s="9"/>
      <c r="B3" s="7"/>
      <c r="C3" s="7"/>
      <c r="D3" s="7"/>
      <c r="E3" s="8"/>
    </row>
    <row r="4" spans="1:5" ht="12.75">
      <c r="A4" s="9" t="s">
        <v>29</v>
      </c>
      <c r="B4" s="57" t="s">
        <v>27</v>
      </c>
      <c r="C4" s="7">
        <v>1</v>
      </c>
      <c r="D4" s="7" t="s">
        <v>161</v>
      </c>
      <c r="E4" s="8"/>
    </row>
    <row r="5" spans="1:5" ht="12.75">
      <c r="A5" s="9"/>
      <c r="B5" s="43" t="s">
        <v>28</v>
      </c>
      <c r="C5" s="7"/>
      <c r="D5" s="7"/>
      <c r="E5" s="8"/>
    </row>
    <row r="6" spans="1:5" ht="12.75">
      <c r="A6" s="9"/>
      <c r="B6" s="7"/>
      <c r="C6" s="7"/>
      <c r="D6" s="7"/>
      <c r="E6" s="8"/>
    </row>
    <row r="7" spans="1:5" ht="12.75">
      <c r="A7" s="9" t="s">
        <v>0</v>
      </c>
      <c r="B7" s="7">
        <v>114</v>
      </c>
      <c r="C7" s="7" t="s">
        <v>7</v>
      </c>
      <c r="D7" s="7"/>
      <c r="E7" s="8"/>
    </row>
    <row r="8" spans="1:5" ht="12.75">
      <c r="A8" s="9" t="s">
        <v>1</v>
      </c>
      <c r="B8" s="7">
        <f>200/114</f>
        <v>1.7543859649122806</v>
      </c>
      <c r="C8" s="7" t="s">
        <v>17</v>
      </c>
      <c r="D8" s="7" t="s">
        <v>23</v>
      </c>
      <c r="E8" s="8"/>
    </row>
    <row r="9" spans="1:5" ht="12.75">
      <c r="A9" s="9" t="s">
        <v>2</v>
      </c>
      <c r="B9" s="7">
        <v>0.45</v>
      </c>
      <c r="C9" s="7" t="s">
        <v>0</v>
      </c>
      <c r="D9" s="7"/>
      <c r="E9" s="8"/>
    </row>
    <row r="10" spans="1:5" ht="12.75">
      <c r="A10" s="9" t="s">
        <v>12</v>
      </c>
      <c r="B10" s="7">
        <f>MAX(9.367,7.14)</f>
        <v>9.367</v>
      </c>
      <c r="C10" s="7" t="s">
        <v>13</v>
      </c>
      <c r="D10" s="7" t="s">
        <v>16</v>
      </c>
      <c r="E10" s="8"/>
    </row>
    <row r="11" spans="1:5" ht="12.75">
      <c r="A11" s="9" t="s">
        <v>18</v>
      </c>
      <c r="B11" s="7">
        <v>0.2</v>
      </c>
      <c r="C11" s="7" t="s">
        <v>0</v>
      </c>
      <c r="D11" s="7" t="s">
        <v>20</v>
      </c>
      <c r="E11" s="8"/>
    </row>
    <row r="12" spans="1:5" ht="12.75">
      <c r="A12" s="9" t="s">
        <v>19</v>
      </c>
      <c r="B12" s="7">
        <v>0.001</v>
      </c>
      <c r="C12" s="7" t="s">
        <v>0</v>
      </c>
      <c r="D12" s="7" t="s">
        <v>21</v>
      </c>
      <c r="E12" s="8"/>
    </row>
    <row r="13" spans="1:5" ht="12.75">
      <c r="A13" s="9" t="s">
        <v>3</v>
      </c>
      <c r="B13" s="7">
        <f>ATAN(Dmotor/Lmotor)</f>
        <v>0.0049999583339583225</v>
      </c>
      <c r="C13" s="7" t="s">
        <v>15</v>
      </c>
      <c r="D13" s="7" t="s">
        <v>22</v>
      </c>
      <c r="E13" s="8"/>
    </row>
    <row r="14" spans="1:5" ht="12.75">
      <c r="A14" s="9" t="s">
        <v>14</v>
      </c>
      <c r="B14" s="7">
        <v>0.001</v>
      </c>
      <c r="C14" s="7" t="s">
        <v>0</v>
      </c>
      <c r="D14" s="7" t="s">
        <v>24</v>
      </c>
      <c r="E14" s="8"/>
    </row>
    <row r="15" spans="1:5" ht="12.75">
      <c r="A15" s="9" t="s">
        <v>4</v>
      </c>
      <c r="B15" s="7">
        <f>ASIN(offset/L)+theta</f>
        <v>0.007222182385174093</v>
      </c>
      <c r="C15" s="7" t="s">
        <v>15</v>
      </c>
      <c r="D15" s="7" t="s">
        <v>25</v>
      </c>
      <c r="E15" s="8"/>
    </row>
    <row r="16" spans="1:5" ht="12.75">
      <c r="A16" s="9" t="s">
        <v>5</v>
      </c>
      <c r="B16" s="20">
        <v>12.371</v>
      </c>
      <c r="C16" s="7" t="s">
        <v>13</v>
      </c>
      <c r="D16" s="7"/>
      <c r="E16" s="8"/>
    </row>
    <row r="17" spans="1:6" ht="12.75">
      <c r="A17" s="9" t="s">
        <v>6</v>
      </c>
      <c r="B17" s="7">
        <f>2*SQRT(m*g*L*Iperp*SIN(nu)*COS(theta))/Izz</f>
        <v>0.39891128953671673</v>
      </c>
      <c r="C17" s="7" t="s">
        <v>26</v>
      </c>
      <c r="D17" s="55" t="s">
        <v>30</v>
      </c>
      <c r="E17" s="8" t="s">
        <v>31</v>
      </c>
      <c r="F17" s="1"/>
    </row>
    <row r="18" spans="1:5" ht="12.75">
      <c r="A18" s="9"/>
      <c r="B18" s="7">
        <f>DEGREES(omega_radpersec)</f>
        <v>22.855933290575067</v>
      </c>
      <c r="C18" s="7" t="s">
        <v>9</v>
      </c>
      <c r="D18" s="7"/>
      <c r="E18" s="8"/>
    </row>
    <row r="19" spans="1:5" ht="12.75">
      <c r="A19" s="9"/>
      <c r="B19" s="7">
        <f>omega_degpersec*60</f>
        <v>1371.355997434504</v>
      </c>
      <c r="C19" s="7" t="s">
        <v>11</v>
      </c>
      <c r="D19" s="7"/>
      <c r="E19" s="8"/>
    </row>
    <row r="20" spans="1:5" ht="12.75">
      <c r="A20" s="9"/>
      <c r="B20" s="7">
        <f>omega_degpermin/360</f>
        <v>3.809322215095844</v>
      </c>
      <c r="C20" s="7" t="s">
        <v>10</v>
      </c>
      <c r="D20" s="7"/>
      <c r="E20" s="8"/>
    </row>
    <row r="21" spans="1:5" ht="12.75">
      <c r="A21" s="9"/>
      <c r="B21" s="7"/>
      <c r="C21" s="7"/>
      <c r="D21" s="7"/>
      <c r="E21" s="8"/>
    </row>
    <row r="22" spans="1:5" ht="13.5" thickBot="1">
      <c r="A22" s="13" t="s">
        <v>32</v>
      </c>
      <c r="B22" s="15"/>
      <c r="C22" s="15"/>
      <c r="D22" s="15"/>
      <c r="E22" s="16"/>
    </row>
  </sheetData>
  <conditionalFormatting sqref="B14 B7 B9:B12">
    <cfRule type="expression" priority="1" dxfId="0" stopIfTrue="1">
      <formula>$C$4</formula>
    </cfRule>
  </conditionalFormatting>
  <conditionalFormatting sqref="B13 B15:B20 B8">
    <cfRule type="expression" priority="2" dxfId="1" stopIfTrue="1">
      <formula>$C$4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workbookViewId="0" topLeftCell="A1">
      <selection activeCell="F9" sqref="F9"/>
    </sheetView>
  </sheetViews>
  <sheetFormatPr defaultColWidth="9.140625" defaultRowHeight="12.75"/>
  <cols>
    <col min="2" max="2" width="10.00390625" style="0" customWidth="1"/>
    <col min="3" max="3" width="24.421875" style="0" customWidth="1"/>
    <col min="4" max="4" width="23.421875" style="0" customWidth="1"/>
    <col min="5" max="5" width="23.57421875" style="0" customWidth="1"/>
    <col min="8" max="8" width="11.28125" style="0" customWidth="1"/>
    <col min="9" max="9" width="10.57421875" style="0" bestFit="1" customWidth="1"/>
    <col min="10" max="10" width="10.57421875" style="0" customWidth="1"/>
    <col min="19" max="19" width="40.8515625" style="0" customWidth="1"/>
  </cols>
  <sheetData>
    <row r="1" spans="1:7" ht="13.5" thickBot="1">
      <c r="A1" s="2" t="s">
        <v>159</v>
      </c>
      <c r="G1" s="2" t="s">
        <v>143</v>
      </c>
    </row>
    <row r="2" spans="1:13" ht="12.75">
      <c r="A2" s="3" t="s">
        <v>157</v>
      </c>
      <c r="B2" s="4"/>
      <c r="C2" s="4"/>
      <c r="D2" s="38" t="s">
        <v>156</v>
      </c>
      <c r="E2" s="39" t="s">
        <v>155</v>
      </c>
      <c r="G2" s="54" t="s">
        <v>2</v>
      </c>
      <c r="H2" s="4">
        <v>0.45</v>
      </c>
      <c r="I2" s="4" t="s">
        <v>0</v>
      </c>
      <c r="J2" s="4"/>
      <c r="K2" s="4"/>
      <c r="L2" s="4"/>
      <c r="M2" s="5"/>
    </row>
    <row r="3" spans="1:13" ht="12.75">
      <c r="A3" s="42" t="str">
        <f>G10</f>
        <v>Case 1: No Solar Panels Deployed</v>
      </c>
      <c r="B3" s="43"/>
      <c r="C3" s="43"/>
      <c r="D3" s="44">
        <f>H12</f>
        <v>114.12692</v>
      </c>
      <c r="E3" s="45">
        <f>Q17</f>
        <v>3.8095178721910266</v>
      </c>
      <c r="G3" s="9" t="s">
        <v>18</v>
      </c>
      <c r="H3" s="7">
        <v>0.2</v>
      </c>
      <c r="I3" s="7" t="s">
        <v>0</v>
      </c>
      <c r="J3" s="7" t="s">
        <v>20</v>
      </c>
      <c r="K3" s="7"/>
      <c r="L3" s="7"/>
      <c r="M3" s="8"/>
    </row>
    <row r="4" spans="1:13" ht="12.75">
      <c r="A4" s="9" t="str">
        <f>G23</f>
        <v>Case 2: Three Solar Panels Deployed</v>
      </c>
      <c r="B4" s="7"/>
      <c r="C4" s="7"/>
      <c r="D4" s="40">
        <f>H25</f>
        <v>114.12692</v>
      </c>
      <c r="E4" s="41">
        <f>Q30</f>
        <v>3.601915654930503</v>
      </c>
      <c r="G4" s="9" t="s">
        <v>19</v>
      </c>
      <c r="H4" s="7">
        <v>0.001</v>
      </c>
      <c r="I4" s="7" t="s">
        <v>0</v>
      </c>
      <c r="J4" s="7" t="s">
        <v>21</v>
      </c>
      <c r="K4" s="7"/>
      <c r="L4" s="7"/>
      <c r="M4" s="8"/>
    </row>
    <row r="5" spans="1:13" ht="12.75">
      <c r="A5" s="50" t="str">
        <f>G36</f>
        <v>Case 3: Four Solar Panels Deployed</v>
      </c>
      <c r="B5" s="51"/>
      <c r="C5" s="51"/>
      <c r="D5" s="52">
        <f>H38</f>
        <v>114.12692</v>
      </c>
      <c r="E5" s="53">
        <f>Q43</f>
        <v>3.538409957690249</v>
      </c>
      <c r="G5" s="9" t="s">
        <v>3</v>
      </c>
      <c r="H5" s="7">
        <f>ATAN(H4/H3)</f>
        <v>0.0049999583339583225</v>
      </c>
      <c r="I5" s="7" t="s">
        <v>15</v>
      </c>
      <c r="J5" s="55" t="s">
        <v>145</v>
      </c>
      <c r="K5" s="7"/>
      <c r="L5" s="7"/>
      <c r="M5" s="8"/>
    </row>
    <row r="6" spans="1:13" ht="12.75">
      <c r="A6" s="9" t="str">
        <f>G49</f>
        <v>Case 4: Six Solar Panels Deployed</v>
      </c>
      <c r="B6" s="7"/>
      <c r="C6" s="7"/>
      <c r="D6" s="40">
        <f>H51</f>
        <v>114.12692</v>
      </c>
      <c r="E6" s="41">
        <f>Q56</f>
        <v>3.5144862151956793</v>
      </c>
      <c r="G6" s="9" t="s">
        <v>14</v>
      </c>
      <c r="H6" s="7">
        <v>0.001</v>
      </c>
      <c r="I6" s="7" t="s">
        <v>0</v>
      </c>
      <c r="J6" s="7" t="s">
        <v>24</v>
      </c>
      <c r="K6" s="7"/>
      <c r="L6" s="7"/>
      <c r="M6" s="8"/>
    </row>
    <row r="7" spans="1:13" ht="13.5" thickBot="1">
      <c r="A7" s="46" t="str">
        <f>G62</f>
        <v>Case 5: Four Solar Panels Deployed, No Propellant</v>
      </c>
      <c r="B7" s="47"/>
      <c r="C7" s="47"/>
      <c r="D7" s="48">
        <f>H64</f>
        <v>55.203058</v>
      </c>
      <c r="E7" s="49">
        <f>Q69</f>
        <v>3.6433232293851283</v>
      </c>
      <c r="G7" s="13" t="s">
        <v>4</v>
      </c>
      <c r="H7" s="15">
        <f>ASIN(H6/H2)+H5</f>
        <v>0.007222182385174093</v>
      </c>
      <c r="I7" s="15" t="s">
        <v>15</v>
      </c>
      <c r="J7" s="56" t="s">
        <v>146</v>
      </c>
      <c r="K7" s="15"/>
      <c r="L7" s="15"/>
      <c r="M7" s="16"/>
    </row>
    <row r="9" ht="13.5" thickBot="1">
      <c r="A9" s="2" t="s">
        <v>158</v>
      </c>
    </row>
    <row r="10" spans="1:19" ht="12.75">
      <c r="A10" s="3" t="s">
        <v>73</v>
      </c>
      <c r="B10" s="4"/>
      <c r="C10" s="4"/>
      <c r="D10" s="4"/>
      <c r="E10" s="5"/>
      <c r="G10" s="3" t="s">
        <v>144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</row>
    <row r="11" spans="1:19" ht="12.75">
      <c r="A11" s="6" t="s">
        <v>74</v>
      </c>
      <c r="B11" s="7"/>
      <c r="C11" s="7"/>
      <c r="D11" s="7"/>
      <c r="E11" s="8"/>
      <c r="G11" s="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</row>
    <row r="12" spans="1:19" ht="12.75">
      <c r="A12" s="9"/>
      <c r="B12" s="10" t="s">
        <v>75</v>
      </c>
      <c r="C12" s="10" t="s">
        <v>76</v>
      </c>
      <c r="D12" s="7"/>
      <c r="E12" s="8"/>
      <c r="G12" s="9" t="s">
        <v>137</v>
      </c>
      <c r="H12" s="28">
        <f>VALUE(MID(C12,1,SEARCH(" ",C12)))</f>
        <v>114.12692</v>
      </c>
      <c r="I12" s="7" t="s">
        <v>7</v>
      </c>
      <c r="J12" s="7"/>
      <c r="K12" s="7"/>
      <c r="L12" s="7"/>
      <c r="M12" s="7"/>
      <c r="N12" s="7"/>
      <c r="O12" s="7"/>
      <c r="P12" s="7" t="s">
        <v>1</v>
      </c>
      <c r="Q12" s="7">
        <f>200/H12</f>
        <v>1.7524349207005674</v>
      </c>
      <c r="R12" s="7" t="s">
        <v>17</v>
      </c>
      <c r="S12" s="33" t="s">
        <v>148</v>
      </c>
    </row>
    <row r="13" spans="1:19" ht="12.75">
      <c r="A13" s="6" t="s">
        <v>77</v>
      </c>
      <c r="B13" s="7"/>
      <c r="C13" s="7"/>
      <c r="D13" s="7"/>
      <c r="E13" s="8"/>
      <c r="G13" s="9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</row>
    <row r="14" spans="1:19" ht="12.75">
      <c r="A14" s="9"/>
      <c r="B14" s="10" t="s">
        <v>78</v>
      </c>
      <c r="C14" s="10" t="s">
        <v>79</v>
      </c>
      <c r="D14" s="7"/>
      <c r="E14" s="8"/>
      <c r="G14" s="9" t="s">
        <v>138</v>
      </c>
      <c r="H14" s="28">
        <f>VALUE(MID(C14,1,SEARCH(" ",C14)))</f>
        <v>0.010046349</v>
      </c>
      <c r="I14" s="7" t="s">
        <v>8</v>
      </c>
      <c r="J14" s="20">
        <f>H14/100</f>
        <v>0.00010046349</v>
      </c>
      <c r="K14" s="7" t="s">
        <v>0</v>
      </c>
      <c r="L14" s="7"/>
      <c r="M14" s="7"/>
      <c r="N14" s="7"/>
      <c r="O14" s="7"/>
      <c r="P14" s="7" t="s">
        <v>6</v>
      </c>
      <c r="Q14" s="7">
        <f>2*SQRT(H12*Q12*H$2*L18*SIN(H$7)*COS(H$5))/N20</f>
        <v>0.39893177869981167</v>
      </c>
      <c r="R14" s="7" t="s">
        <v>147</v>
      </c>
      <c r="S14" s="33" t="s">
        <v>30</v>
      </c>
    </row>
    <row r="15" spans="1:19" ht="12.75">
      <c r="A15" s="9"/>
      <c r="B15" s="10" t="s">
        <v>80</v>
      </c>
      <c r="C15" s="10" t="s">
        <v>81</v>
      </c>
      <c r="D15" s="7"/>
      <c r="E15" s="8"/>
      <c r="G15" s="9" t="s">
        <v>139</v>
      </c>
      <c r="H15" s="28">
        <f>VALUE(MID(C15,1,SEARCH(" ",C15)))</f>
        <v>-0.011104406</v>
      </c>
      <c r="I15" s="7" t="s">
        <v>8</v>
      </c>
      <c r="J15" s="20">
        <f>H15/100</f>
        <v>-0.00011104406000000001</v>
      </c>
      <c r="K15" s="7" t="s">
        <v>0</v>
      </c>
      <c r="L15" s="7"/>
      <c r="M15" s="7"/>
      <c r="N15" s="7"/>
      <c r="O15" s="7"/>
      <c r="P15" s="7"/>
      <c r="Q15" s="7">
        <f>DEGREES(Q14)</f>
        <v>22.85710723314616</v>
      </c>
      <c r="R15" s="7" t="s">
        <v>149</v>
      </c>
      <c r="S15" s="8"/>
    </row>
    <row r="16" spans="1:19" ht="12.75">
      <c r="A16" s="9"/>
      <c r="B16" s="10" t="s">
        <v>82</v>
      </c>
      <c r="C16" s="10" t="s">
        <v>83</v>
      </c>
      <c r="D16" s="7"/>
      <c r="E16" s="8"/>
      <c r="G16" s="9" t="s">
        <v>140</v>
      </c>
      <c r="H16" s="28">
        <f>VALUE(MID(C16,1,SEARCH(" ",C16)))</f>
        <v>-7.2858698</v>
      </c>
      <c r="I16" s="7" t="s">
        <v>8</v>
      </c>
      <c r="J16" s="20">
        <f>H16/100</f>
        <v>-0.072858698</v>
      </c>
      <c r="K16" s="7" t="s">
        <v>0</v>
      </c>
      <c r="L16" s="7"/>
      <c r="M16" s="7"/>
      <c r="N16" s="7"/>
      <c r="O16" s="7"/>
      <c r="P16" s="7"/>
      <c r="Q16" s="7">
        <f>Q15*60</f>
        <v>1371.4264339887695</v>
      </c>
      <c r="R16" s="7" t="s">
        <v>150</v>
      </c>
      <c r="S16" s="8"/>
    </row>
    <row r="17" spans="1:19" ht="12.75">
      <c r="A17" s="6" t="s">
        <v>84</v>
      </c>
      <c r="B17" s="7"/>
      <c r="C17" s="7"/>
      <c r="D17" s="7"/>
      <c r="E17" s="8"/>
      <c r="G17" s="9"/>
      <c r="H17" s="7"/>
      <c r="I17" s="7"/>
      <c r="J17" s="7"/>
      <c r="K17" s="7"/>
      <c r="L17" s="7"/>
      <c r="M17" s="7"/>
      <c r="N17" s="7"/>
      <c r="O17" s="7"/>
      <c r="P17" s="7"/>
      <c r="Q17" s="7">
        <f>Q16/360</f>
        <v>3.8095178721910266</v>
      </c>
      <c r="R17" s="7" t="s">
        <v>10</v>
      </c>
      <c r="S17" s="8"/>
    </row>
    <row r="18" spans="1:19" ht="12.75">
      <c r="A18" s="9"/>
      <c r="B18" s="10" t="s">
        <v>85</v>
      </c>
      <c r="C18" s="10" t="s">
        <v>86</v>
      </c>
      <c r="D18" s="7"/>
      <c r="E18" s="8"/>
      <c r="G18" s="9" t="s">
        <v>141</v>
      </c>
      <c r="H18" s="36">
        <f>VALUE(MID(C18,1,SEARCH(" ",C18)))</f>
        <v>9367559.4</v>
      </c>
      <c r="I18" s="17"/>
      <c r="J18" s="18"/>
      <c r="K18" s="7" t="s">
        <v>96</v>
      </c>
      <c r="L18" s="24">
        <f>H18/1000000</f>
        <v>9.367559400000001</v>
      </c>
      <c r="M18" s="25"/>
      <c r="N18" s="26"/>
      <c r="O18" s="7" t="s">
        <v>142</v>
      </c>
      <c r="P18" s="7"/>
      <c r="Q18" s="7"/>
      <c r="R18" s="7"/>
      <c r="S18" s="8"/>
    </row>
    <row r="19" spans="1:19" ht="12.75">
      <c r="A19" s="9"/>
      <c r="B19" s="10" t="s">
        <v>87</v>
      </c>
      <c r="C19" s="10" t="s">
        <v>88</v>
      </c>
      <c r="D19" s="10" t="s">
        <v>89</v>
      </c>
      <c r="E19" s="8"/>
      <c r="G19" s="9"/>
      <c r="H19" s="19"/>
      <c r="I19" s="35">
        <f>VALUE(MID(D19,1,SEARCH(" ",D19)))</f>
        <v>7138344.3</v>
      </c>
      <c r="J19" s="21"/>
      <c r="K19" s="7"/>
      <c r="L19" s="27"/>
      <c r="M19" s="28">
        <f>I19/1000000</f>
        <v>7.1383443</v>
      </c>
      <c r="N19" s="29"/>
      <c r="O19" s="7"/>
      <c r="P19" s="7"/>
      <c r="Q19" s="7"/>
      <c r="R19" s="7"/>
      <c r="S19" s="8"/>
    </row>
    <row r="20" spans="1:19" ht="12.75">
      <c r="A20" s="9"/>
      <c r="B20" s="10" t="s">
        <v>90</v>
      </c>
      <c r="C20" s="10" t="s">
        <v>91</v>
      </c>
      <c r="D20" s="10" t="s">
        <v>92</v>
      </c>
      <c r="E20" s="11" t="s">
        <v>93</v>
      </c>
      <c r="G20" s="9"/>
      <c r="H20" s="22"/>
      <c r="I20" s="23"/>
      <c r="J20" s="37">
        <f>VALUE(MID(E20,1,SEARCH(" ",E20)))</f>
        <v>12370734</v>
      </c>
      <c r="K20" s="7"/>
      <c r="L20" s="30"/>
      <c r="M20" s="31"/>
      <c r="N20" s="32">
        <f>J20/1000000</f>
        <v>12.370734</v>
      </c>
      <c r="O20" s="7"/>
      <c r="P20" s="7"/>
      <c r="Q20" s="7"/>
      <c r="R20" s="7"/>
      <c r="S20" s="8"/>
    </row>
    <row r="21" spans="1:19" ht="13.5" thickBot="1">
      <c r="A21" s="9"/>
      <c r="B21" s="10" t="s">
        <v>94</v>
      </c>
      <c r="C21" s="7"/>
      <c r="D21" s="10" t="s">
        <v>95</v>
      </c>
      <c r="E21" s="8"/>
      <c r="G21" s="13" t="s">
        <v>94</v>
      </c>
      <c r="H21" s="15" t="str">
        <f>D21</f>
        <v>1.3206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</row>
    <row r="22" spans="1:5" ht="13.5" thickBot="1">
      <c r="A22" s="12" t="s">
        <v>97</v>
      </c>
      <c r="B22" s="7"/>
      <c r="C22" s="7"/>
      <c r="D22" s="7"/>
      <c r="E22" s="8"/>
    </row>
    <row r="23" spans="1:19" ht="12.75">
      <c r="A23" s="6" t="s">
        <v>98</v>
      </c>
      <c r="B23" s="7"/>
      <c r="C23" s="7"/>
      <c r="D23" s="7"/>
      <c r="E23" s="8"/>
      <c r="G23" s="3" t="s">
        <v>151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</row>
    <row r="24" spans="1:19" ht="12.75">
      <c r="A24" s="6" t="s">
        <v>74</v>
      </c>
      <c r="B24" s="7"/>
      <c r="C24" s="7"/>
      <c r="D24" s="7"/>
      <c r="E24" s="8"/>
      <c r="G24" s="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/>
    </row>
    <row r="25" spans="1:19" ht="12.75">
      <c r="A25" s="9"/>
      <c r="B25" s="10" t="s">
        <v>75</v>
      </c>
      <c r="C25" s="10" t="s">
        <v>76</v>
      </c>
      <c r="D25" s="7"/>
      <c r="E25" s="8"/>
      <c r="G25" s="9" t="s">
        <v>137</v>
      </c>
      <c r="H25" s="28">
        <f>VALUE(MID(C25,1,SEARCH(" ",C25)))</f>
        <v>114.12692</v>
      </c>
      <c r="I25" s="7" t="s">
        <v>7</v>
      </c>
      <c r="J25" s="7"/>
      <c r="K25" s="7"/>
      <c r="L25" s="7"/>
      <c r="M25" s="7"/>
      <c r="N25" s="7"/>
      <c r="O25" s="7"/>
      <c r="P25" s="7" t="s">
        <v>1</v>
      </c>
      <c r="Q25" s="7">
        <f>200/H25</f>
        <v>1.7524349207005674</v>
      </c>
      <c r="R25" s="7" t="s">
        <v>17</v>
      </c>
      <c r="S25" s="33" t="s">
        <v>148</v>
      </c>
    </row>
    <row r="26" spans="1:19" ht="12.75">
      <c r="A26" s="6" t="s">
        <v>77</v>
      </c>
      <c r="B26" s="7"/>
      <c r="C26" s="7"/>
      <c r="D26" s="7"/>
      <c r="E26" s="8"/>
      <c r="G26" s="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8"/>
    </row>
    <row r="27" spans="1:19" ht="12.75">
      <c r="A27" s="9"/>
      <c r="B27" s="10" t="s">
        <v>78</v>
      </c>
      <c r="C27" s="10" t="s">
        <v>99</v>
      </c>
      <c r="D27" s="7"/>
      <c r="E27" s="8"/>
      <c r="G27" s="9" t="s">
        <v>138</v>
      </c>
      <c r="H27" s="28">
        <f>VALUE(MID(C27,1,SEARCH(" ",C27)))</f>
        <v>1.6789305</v>
      </c>
      <c r="I27" s="7" t="s">
        <v>8</v>
      </c>
      <c r="J27" s="20">
        <f>H27/100</f>
        <v>0.016789305</v>
      </c>
      <c r="K27" s="7" t="s">
        <v>0</v>
      </c>
      <c r="L27" s="7"/>
      <c r="M27" s="7"/>
      <c r="N27" s="7"/>
      <c r="O27" s="7"/>
      <c r="P27" s="7" t="s">
        <v>6</v>
      </c>
      <c r="Q27" s="7">
        <f>2*SQRT(H25*Q25*H$2*L31*SIN(H$7)*COS(H$5))/N33</f>
        <v>0.37719172534599127</v>
      </c>
      <c r="R27" s="7" t="s">
        <v>147</v>
      </c>
      <c r="S27" s="33" t="s">
        <v>30</v>
      </c>
    </row>
    <row r="28" spans="1:19" ht="12.75">
      <c r="A28" s="9"/>
      <c r="B28" s="10" t="s">
        <v>80</v>
      </c>
      <c r="C28" s="10" t="s">
        <v>100</v>
      </c>
      <c r="D28" s="7"/>
      <c r="E28" s="8"/>
      <c r="G28" s="9" t="s">
        <v>139</v>
      </c>
      <c r="H28" s="28">
        <f>VALUE(MID(C28,1,SEARCH(" ",C28)))</f>
        <v>0.95242633</v>
      </c>
      <c r="I28" s="7" t="s">
        <v>8</v>
      </c>
      <c r="J28" s="20">
        <f>H28/100</f>
        <v>0.0095242633</v>
      </c>
      <c r="K28" s="7" t="s">
        <v>0</v>
      </c>
      <c r="L28" s="7"/>
      <c r="M28" s="7"/>
      <c r="N28" s="7"/>
      <c r="O28" s="7"/>
      <c r="P28" s="7"/>
      <c r="Q28" s="7">
        <f>DEGREES(Q27)</f>
        <v>21.61149392958302</v>
      </c>
      <c r="R28" s="7" t="s">
        <v>149</v>
      </c>
      <c r="S28" s="8"/>
    </row>
    <row r="29" spans="1:19" ht="12.75">
      <c r="A29" s="9"/>
      <c r="B29" s="10" t="s">
        <v>82</v>
      </c>
      <c r="C29" s="34" t="s">
        <v>101</v>
      </c>
      <c r="D29" s="7"/>
      <c r="E29" s="8"/>
      <c r="G29" s="9" t="s">
        <v>140</v>
      </c>
      <c r="H29" s="28">
        <f>VALUE(MID(C29,1,SEARCH(" ",C29)))</f>
        <v>-7.3552706</v>
      </c>
      <c r="I29" s="7" t="s">
        <v>8</v>
      </c>
      <c r="J29" s="20">
        <f>H29/100</f>
        <v>-0.073552706</v>
      </c>
      <c r="K29" s="7" t="s">
        <v>0</v>
      </c>
      <c r="L29" s="7"/>
      <c r="M29" s="7"/>
      <c r="N29" s="7"/>
      <c r="O29" s="7"/>
      <c r="P29" s="7"/>
      <c r="Q29" s="7">
        <f>Q28*60</f>
        <v>1296.689635774981</v>
      </c>
      <c r="R29" s="7" t="s">
        <v>150</v>
      </c>
      <c r="S29" s="8"/>
    </row>
    <row r="30" spans="1:19" ht="12.75">
      <c r="A30" s="6" t="s">
        <v>84</v>
      </c>
      <c r="B30" s="7"/>
      <c r="C30" s="7"/>
      <c r="D30" s="7"/>
      <c r="E30" s="8"/>
      <c r="G30" s="9"/>
      <c r="H30" s="7"/>
      <c r="I30" s="7"/>
      <c r="J30" s="7"/>
      <c r="K30" s="7"/>
      <c r="L30" s="7"/>
      <c r="M30" s="7"/>
      <c r="N30" s="7"/>
      <c r="O30" s="7"/>
      <c r="P30" s="7"/>
      <c r="Q30" s="7">
        <f>Q29/360</f>
        <v>3.601915654930503</v>
      </c>
      <c r="R30" s="7" t="s">
        <v>10</v>
      </c>
      <c r="S30" s="8"/>
    </row>
    <row r="31" spans="1:19" ht="12.75">
      <c r="A31" s="9"/>
      <c r="B31" s="10" t="s">
        <v>85</v>
      </c>
      <c r="C31" s="10" t="s">
        <v>102</v>
      </c>
      <c r="D31" s="7"/>
      <c r="E31" s="8"/>
      <c r="G31" s="9" t="s">
        <v>141</v>
      </c>
      <c r="H31" s="36">
        <f>VALUE(MID(C31,1,SEARCH(" ",C31)))</f>
        <v>9592273.3</v>
      </c>
      <c r="I31" s="17"/>
      <c r="J31" s="18"/>
      <c r="K31" s="7" t="s">
        <v>96</v>
      </c>
      <c r="L31" s="24">
        <f>H31/1000000</f>
        <v>9.5922733</v>
      </c>
      <c r="M31" s="25"/>
      <c r="N31" s="26"/>
      <c r="O31" s="7" t="s">
        <v>142</v>
      </c>
      <c r="P31" s="7"/>
      <c r="Q31" s="7"/>
      <c r="R31" s="7"/>
      <c r="S31" s="8"/>
    </row>
    <row r="32" spans="1:19" ht="12.75">
      <c r="A32" s="9"/>
      <c r="B32" s="10" t="s">
        <v>87</v>
      </c>
      <c r="C32" s="10" t="s">
        <v>103</v>
      </c>
      <c r="D32" s="10" t="s">
        <v>104</v>
      </c>
      <c r="E32" s="8"/>
      <c r="G32" s="9"/>
      <c r="H32" s="19"/>
      <c r="I32" s="35">
        <f>VALUE(MID(D32,1,SEARCH(" ",D32)))</f>
        <v>7797556.1</v>
      </c>
      <c r="J32" s="21"/>
      <c r="K32" s="7"/>
      <c r="L32" s="27"/>
      <c r="M32" s="28">
        <f>I32/1000000</f>
        <v>7.7975560999999995</v>
      </c>
      <c r="N32" s="29"/>
      <c r="O32" s="7"/>
      <c r="P32" s="7"/>
      <c r="Q32" s="7"/>
      <c r="R32" s="7"/>
      <c r="S32" s="8"/>
    </row>
    <row r="33" spans="1:19" ht="12.75">
      <c r="A33" s="9"/>
      <c r="B33" s="10" t="s">
        <v>90</v>
      </c>
      <c r="C33" s="10" t="s">
        <v>105</v>
      </c>
      <c r="D33" s="10" t="s">
        <v>106</v>
      </c>
      <c r="E33" s="11" t="s">
        <v>107</v>
      </c>
      <c r="G33" s="9"/>
      <c r="H33" s="22"/>
      <c r="I33" s="23"/>
      <c r="J33" s="37">
        <f>VALUE(MID(E33,1,SEARCH(" ",E33)))</f>
        <v>13239741</v>
      </c>
      <c r="K33" s="7"/>
      <c r="L33" s="30"/>
      <c r="M33" s="31"/>
      <c r="N33" s="32">
        <f>J33/1000000</f>
        <v>13.239741</v>
      </c>
      <c r="O33" s="7"/>
      <c r="P33" s="7"/>
      <c r="Q33" s="7"/>
      <c r="R33" s="7"/>
      <c r="S33" s="8"/>
    </row>
    <row r="34" spans="1:19" ht="13.5" thickBot="1">
      <c r="A34" s="9"/>
      <c r="B34" s="10" t="s">
        <v>94</v>
      </c>
      <c r="C34" s="7"/>
      <c r="D34" s="10" t="s">
        <v>108</v>
      </c>
      <c r="E34" s="8"/>
      <c r="G34" s="13" t="s">
        <v>94</v>
      </c>
      <c r="H34" s="15" t="str">
        <f>D34</f>
        <v>1.3803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</row>
    <row r="35" spans="1:5" ht="13.5" thickBot="1">
      <c r="A35" s="12" t="s">
        <v>97</v>
      </c>
      <c r="B35" s="7"/>
      <c r="C35" s="7"/>
      <c r="D35" s="7"/>
      <c r="E35" s="8"/>
    </row>
    <row r="36" spans="1:19" ht="12.75">
      <c r="A36" s="6" t="s">
        <v>109</v>
      </c>
      <c r="B36" s="7"/>
      <c r="C36" s="7"/>
      <c r="D36" s="7"/>
      <c r="E36" s="8"/>
      <c r="G36" s="3" t="s">
        <v>152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</row>
    <row r="37" spans="1:19" ht="12.75">
      <c r="A37" s="6" t="s">
        <v>74</v>
      </c>
      <c r="B37" s="7"/>
      <c r="C37" s="7"/>
      <c r="D37" s="7"/>
      <c r="E37" s="8"/>
      <c r="G37" s="9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8"/>
    </row>
    <row r="38" spans="1:19" ht="12.75">
      <c r="A38" s="9"/>
      <c r="B38" s="10" t="s">
        <v>75</v>
      </c>
      <c r="C38" s="10" t="s">
        <v>76</v>
      </c>
      <c r="D38" s="7"/>
      <c r="E38" s="8"/>
      <c r="G38" s="9" t="s">
        <v>137</v>
      </c>
      <c r="H38" s="28">
        <f>VALUE(MID(C38,1,SEARCH(" ",C38)))</f>
        <v>114.12692</v>
      </c>
      <c r="I38" s="7" t="s">
        <v>7</v>
      </c>
      <c r="J38" s="7"/>
      <c r="K38" s="7"/>
      <c r="L38" s="7"/>
      <c r="M38" s="7"/>
      <c r="N38" s="7"/>
      <c r="O38" s="7"/>
      <c r="P38" s="7" t="s">
        <v>1</v>
      </c>
      <c r="Q38" s="7">
        <f>200/H38</f>
        <v>1.7524349207005674</v>
      </c>
      <c r="R38" s="7" t="s">
        <v>17</v>
      </c>
      <c r="S38" s="33" t="s">
        <v>148</v>
      </c>
    </row>
    <row r="39" spans="1:19" ht="12.75">
      <c r="A39" s="6" t="s">
        <v>77</v>
      </c>
      <c r="B39" s="7"/>
      <c r="C39" s="7"/>
      <c r="D39" s="7"/>
      <c r="E39" s="8"/>
      <c r="G39" s="9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/>
    </row>
    <row r="40" spans="1:19" ht="12.75">
      <c r="A40" s="9"/>
      <c r="B40" s="10" t="s">
        <v>78</v>
      </c>
      <c r="C40" s="10" t="s">
        <v>79</v>
      </c>
      <c r="D40" s="7"/>
      <c r="E40" s="8"/>
      <c r="G40" s="9" t="s">
        <v>138</v>
      </c>
      <c r="H40" s="28">
        <f>VALUE(MID(C40,1,SEARCH(" ",C40)))</f>
        <v>0.010046349</v>
      </c>
      <c r="I40" s="7" t="s">
        <v>8</v>
      </c>
      <c r="J40" s="20">
        <f>H40/100</f>
        <v>0.00010046349</v>
      </c>
      <c r="K40" s="7" t="s">
        <v>0</v>
      </c>
      <c r="L40" s="7"/>
      <c r="M40" s="7"/>
      <c r="N40" s="7"/>
      <c r="O40" s="7"/>
      <c r="P40" s="7" t="s">
        <v>6</v>
      </c>
      <c r="Q40" s="7">
        <f>2*SQRT(H38*Q38*H$2*L44*SIN(H$7)*COS(H$5))/N46</f>
        <v>0.3705414242822886</v>
      </c>
      <c r="R40" s="7" t="s">
        <v>147</v>
      </c>
      <c r="S40" s="33" t="s">
        <v>30</v>
      </c>
    </row>
    <row r="41" spans="1:19" ht="12.75">
      <c r="A41" s="9"/>
      <c r="B41" s="10" t="s">
        <v>80</v>
      </c>
      <c r="C41" s="10" t="s">
        <v>81</v>
      </c>
      <c r="D41" s="7"/>
      <c r="E41" s="8"/>
      <c r="G41" s="9" t="s">
        <v>139</v>
      </c>
      <c r="H41" s="28">
        <f>VALUE(MID(C41,1,SEARCH(" ",C41)))</f>
        <v>-0.011104406</v>
      </c>
      <c r="I41" s="7" t="s">
        <v>8</v>
      </c>
      <c r="J41" s="20">
        <f>H41/100</f>
        <v>-0.00011104406000000001</v>
      </c>
      <c r="K41" s="7" t="s">
        <v>0</v>
      </c>
      <c r="L41" s="7"/>
      <c r="M41" s="7"/>
      <c r="N41" s="7"/>
      <c r="O41" s="7"/>
      <c r="P41" s="7"/>
      <c r="Q41" s="7">
        <f>DEGREES(Q40)</f>
        <v>21.230459746141495</v>
      </c>
      <c r="R41" s="7" t="s">
        <v>149</v>
      </c>
      <c r="S41" s="8"/>
    </row>
    <row r="42" spans="1:19" ht="12.75">
      <c r="A42" s="9"/>
      <c r="B42" s="10" t="s">
        <v>82</v>
      </c>
      <c r="C42" s="10" t="s">
        <v>110</v>
      </c>
      <c r="D42" s="7"/>
      <c r="E42" s="8"/>
      <c r="G42" s="9" t="s">
        <v>140</v>
      </c>
      <c r="H42" s="28">
        <f>VALUE(MID(C42,1,SEARCH(" ",C42)))</f>
        <v>-7.3784042</v>
      </c>
      <c r="I42" s="7" t="s">
        <v>8</v>
      </c>
      <c r="J42" s="20">
        <f>H42/100</f>
        <v>-0.07378404200000001</v>
      </c>
      <c r="K42" s="7" t="s">
        <v>0</v>
      </c>
      <c r="L42" s="7"/>
      <c r="M42" s="7"/>
      <c r="N42" s="7"/>
      <c r="O42" s="7"/>
      <c r="P42" s="7"/>
      <c r="Q42" s="7">
        <f>Q41*60</f>
        <v>1273.8275847684897</v>
      </c>
      <c r="R42" s="7" t="s">
        <v>150</v>
      </c>
      <c r="S42" s="8"/>
    </row>
    <row r="43" spans="1:19" ht="12.75">
      <c r="A43" s="6" t="s">
        <v>84</v>
      </c>
      <c r="B43" s="7"/>
      <c r="C43" s="7"/>
      <c r="D43" s="7"/>
      <c r="E43" s="8"/>
      <c r="G43" s="9"/>
      <c r="H43" s="7"/>
      <c r="I43" s="7"/>
      <c r="J43" s="7"/>
      <c r="K43" s="7"/>
      <c r="L43" s="7"/>
      <c r="M43" s="7"/>
      <c r="N43" s="7"/>
      <c r="O43" s="7"/>
      <c r="P43" s="7"/>
      <c r="Q43" s="7">
        <f>Q42/360</f>
        <v>3.538409957690249</v>
      </c>
      <c r="R43" s="7" t="s">
        <v>10</v>
      </c>
      <c r="S43" s="8"/>
    </row>
    <row r="44" spans="1:19" ht="12.75">
      <c r="A44" s="9"/>
      <c r="B44" s="10" t="s">
        <v>85</v>
      </c>
      <c r="C44" s="10" t="s">
        <v>111</v>
      </c>
      <c r="D44" s="7"/>
      <c r="E44" s="8"/>
      <c r="G44" s="9" t="s">
        <v>141</v>
      </c>
      <c r="H44" s="36">
        <f>VALUE(MID(C44,1,SEARCH(" ",C44)))</f>
        <v>9667315.7</v>
      </c>
      <c r="I44" s="17"/>
      <c r="J44" s="18"/>
      <c r="K44" s="7" t="s">
        <v>96</v>
      </c>
      <c r="L44" s="24">
        <f>H44/1000000</f>
        <v>9.6673157</v>
      </c>
      <c r="M44" s="25"/>
      <c r="N44" s="26"/>
      <c r="O44" s="7" t="s">
        <v>142</v>
      </c>
      <c r="P44" s="7"/>
      <c r="Q44" s="7"/>
      <c r="R44" s="7"/>
      <c r="S44" s="8"/>
    </row>
    <row r="45" spans="1:19" ht="12.75">
      <c r="A45" s="9"/>
      <c r="B45" s="10" t="s">
        <v>87</v>
      </c>
      <c r="C45" s="10" t="s">
        <v>88</v>
      </c>
      <c r="D45" s="10" t="s">
        <v>112</v>
      </c>
      <c r="E45" s="8"/>
      <c r="G45" s="9"/>
      <c r="H45" s="19"/>
      <c r="I45" s="35">
        <f>VALUE(MID(D45,1,SEARCH(" ",D45)))</f>
        <v>8017722</v>
      </c>
      <c r="J45" s="21"/>
      <c r="K45" s="7"/>
      <c r="L45" s="27"/>
      <c r="M45" s="28">
        <f>I45/1000000</f>
        <v>8.017722</v>
      </c>
      <c r="N45" s="29"/>
      <c r="O45" s="7"/>
      <c r="P45" s="7"/>
      <c r="Q45" s="7"/>
      <c r="R45" s="7"/>
      <c r="S45" s="8"/>
    </row>
    <row r="46" spans="1:19" ht="12.75">
      <c r="A46" s="9"/>
      <c r="B46" s="10" t="s">
        <v>90</v>
      </c>
      <c r="C46" s="10" t="s">
        <v>113</v>
      </c>
      <c r="D46" s="10" t="s">
        <v>114</v>
      </c>
      <c r="E46" s="11" t="s">
        <v>115</v>
      </c>
      <c r="G46" s="9"/>
      <c r="H46" s="22"/>
      <c r="I46" s="23"/>
      <c r="J46" s="37">
        <f>VALUE(MID(E46,1,SEARCH(" ",E46)))</f>
        <v>13529977</v>
      </c>
      <c r="K46" s="7"/>
      <c r="L46" s="30"/>
      <c r="M46" s="31"/>
      <c r="N46" s="32">
        <f>J46/1000000</f>
        <v>13.529977</v>
      </c>
      <c r="O46" s="7"/>
      <c r="P46" s="7"/>
      <c r="Q46" s="7"/>
      <c r="R46" s="7"/>
      <c r="S46" s="8"/>
    </row>
    <row r="47" spans="1:19" ht="13.5" thickBot="1">
      <c r="A47" s="9"/>
      <c r="B47" s="10" t="s">
        <v>94</v>
      </c>
      <c r="C47" s="7"/>
      <c r="D47" s="10" t="s">
        <v>116</v>
      </c>
      <c r="E47" s="8"/>
      <c r="G47" s="13" t="s">
        <v>94</v>
      </c>
      <c r="H47" s="15" t="str">
        <f>D47</f>
        <v>1.3996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</row>
    <row r="48" spans="1:5" ht="13.5" thickBot="1">
      <c r="A48" s="12" t="s">
        <v>97</v>
      </c>
      <c r="B48" s="7"/>
      <c r="C48" s="7"/>
      <c r="D48" s="7"/>
      <c r="E48" s="8"/>
    </row>
    <row r="49" spans="1:19" ht="12.75">
      <c r="A49" s="6" t="s">
        <v>117</v>
      </c>
      <c r="B49" s="7"/>
      <c r="C49" s="7"/>
      <c r="D49" s="7"/>
      <c r="E49" s="8"/>
      <c r="G49" s="3" t="s">
        <v>153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5"/>
    </row>
    <row r="50" spans="1:19" ht="12.75">
      <c r="A50" s="6" t="s">
        <v>74</v>
      </c>
      <c r="B50" s="7"/>
      <c r="C50" s="7"/>
      <c r="D50" s="7"/>
      <c r="E50" s="8"/>
      <c r="G50" s="9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8"/>
    </row>
    <row r="51" spans="1:19" ht="12.75">
      <c r="A51" s="9"/>
      <c r="B51" s="10" t="s">
        <v>75</v>
      </c>
      <c r="C51" s="10" t="s">
        <v>76</v>
      </c>
      <c r="D51" s="7"/>
      <c r="E51" s="8"/>
      <c r="G51" s="9" t="s">
        <v>137</v>
      </c>
      <c r="H51" s="28">
        <f>VALUE(MID(C51,1,SEARCH(" ",C51)))</f>
        <v>114.12692</v>
      </c>
      <c r="I51" s="7" t="s">
        <v>7</v>
      </c>
      <c r="J51" s="7"/>
      <c r="K51" s="7"/>
      <c r="L51" s="7"/>
      <c r="M51" s="7"/>
      <c r="N51" s="7"/>
      <c r="O51" s="7"/>
      <c r="P51" s="7" t="s">
        <v>1</v>
      </c>
      <c r="Q51" s="7">
        <f>200/H51</f>
        <v>1.7524349207005674</v>
      </c>
      <c r="R51" s="7" t="s">
        <v>17</v>
      </c>
      <c r="S51" s="33" t="s">
        <v>148</v>
      </c>
    </row>
    <row r="52" spans="1:19" ht="12.75">
      <c r="A52" s="6" t="s">
        <v>77</v>
      </c>
      <c r="B52" s="7"/>
      <c r="C52" s="7"/>
      <c r="D52" s="7"/>
      <c r="E52" s="8"/>
      <c r="G52" s="9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8"/>
    </row>
    <row r="53" spans="1:19" ht="12.75">
      <c r="A53" s="9"/>
      <c r="B53" s="10" t="s">
        <v>78</v>
      </c>
      <c r="C53" s="10" t="s">
        <v>79</v>
      </c>
      <c r="D53" s="7"/>
      <c r="E53" s="8"/>
      <c r="G53" s="9" t="s">
        <v>138</v>
      </c>
      <c r="H53" s="28">
        <f>VALUE(MID(C53,1,SEARCH(" ",C53)))</f>
        <v>0.010046349</v>
      </c>
      <c r="I53" s="7" t="s">
        <v>8</v>
      </c>
      <c r="J53" s="20">
        <f>H53/100</f>
        <v>0.00010046349</v>
      </c>
      <c r="K53" s="7" t="s">
        <v>0</v>
      </c>
      <c r="L53" s="7"/>
      <c r="M53" s="7"/>
      <c r="N53" s="7"/>
      <c r="O53" s="7"/>
      <c r="P53" s="7" t="s">
        <v>6</v>
      </c>
      <c r="Q53" s="7">
        <f>2*SQRT(H51*Q51*H$2*L57*SIN(H$7)*COS(H$5))/N59</f>
        <v>0.3680361358267114</v>
      </c>
      <c r="R53" s="7" t="s">
        <v>147</v>
      </c>
      <c r="S53" s="33" t="s">
        <v>30</v>
      </c>
    </row>
    <row r="54" spans="1:19" ht="12.75">
      <c r="A54" s="9"/>
      <c r="B54" s="10" t="s">
        <v>80</v>
      </c>
      <c r="C54" s="10" t="s">
        <v>81</v>
      </c>
      <c r="D54" s="7"/>
      <c r="E54" s="8"/>
      <c r="G54" s="9" t="s">
        <v>139</v>
      </c>
      <c r="H54" s="28">
        <f>VALUE(MID(C54,1,SEARCH(" ",C54)))</f>
        <v>-0.011104406</v>
      </c>
      <c r="I54" s="7" t="s">
        <v>8</v>
      </c>
      <c r="J54" s="20">
        <f>H54/100</f>
        <v>-0.00011104406000000001</v>
      </c>
      <c r="K54" s="7" t="s">
        <v>0</v>
      </c>
      <c r="L54" s="7"/>
      <c r="M54" s="7"/>
      <c r="N54" s="7"/>
      <c r="O54" s="7"/>
      <c r="P54" s="7"/>
      <c r="Q54" s="7">
        <f>DEGREES(Q53)</f>
        <v>21.086917291174075</v>
      </c>
      <c r="R54" s="7" t="s">
        <v>149</v>
      </c>
      <c r="S54" s="8"/>
    </row>
    <row r="55" spans="1:19" ht="12.75">
      <c r="A55" s="9"/>
      <c r="B55" s="10" t="s">
        <v>82</v>
      </c>
      <c r="C55" s="10" t="s">
        <v>118</v>
      </c>
      <c r="D55" s="7"/>
      <c r="E55" s="8"/>
      <c r="G55" s="9" t="s">
        <v>140</v>
      </c>
      <c r="H55" s="28">
        <f>VALUE(MID(C55,1,SEARCH(" ",C55)))</f>
        <v>-6.2900315</v>
      </c>
      <c r="I55" s="7" t="s">
        <v>8</v>
      </c>
      <c r="J55" s="20">
        <f>H55/100</f>
        <v>-0.062900315</v>
      </c>
      <c r="K55" s="7" t="s">
        <v>0</v>
      </c>
      <c r="L55" s="7"/>
      <c r="M55" s="7"/>
      <c r="N55" s="7"/>
      <c r="O55" s="7"/>
      <c r="P55" s="7"/>
      <c r="Q55" s="7">
        <f>Q54*60</f>
        <v>1265.2150374704445</v>
      </c>
      <c r="R55" s="7" t="s">
        <v>150</v>
      </c>
      <c r="S55" s="8"/>
    </row>
    <row r="56" spans="1:19" ht="12.75">
      <c r="A56" s="6" t="s">
        <v>84</v>
      </c>
      <c r="B56" s="7"/>
      <c r="C56" s="7"/>
      <c r="D56" s="7"/>
      <c r="E56" s="8"/>
      <c r="G56" s="9"/>
      <c r="H56" s="7"/>
      <c r="I56" s="7"/>
      <c r="J56" s="7"/>
      <c r="K56" s="7"/>
      <c r="L56" s="7"/>
      <c r="M56" s="7"/>
      <c r="N56" s="7"/>
      <c r="O56" s="7"/>
      <c r="P56" s="7"/>
      <c r="Q56" s="7">
        <f>Q55/360</f>
        <v>3.5144862151956793</v>
      </c>
      <c r="R56" s="7" t="s">
        <v>10</v>
      </c>
      <c r="S56" s="8"/>
    </row>
    <row r="57" spans="1:19" ht="12.75">
      <c r="A57" s="9"/>
      <c r="B57" s="10" t="s">
        <v>85</v>
      </c>
      <c r="C57" s="10" t="s">
        <v>119</v>
      </c>
      <c r="D57" s="7"/>
      <c r="E57" s="8"/>
      <c r="G57" s="9" t="s">
        <v>141</v>
      </c>
      <c r="H57" s="36">
        <f>VALUE(MID(C57,1,SEARCH(" ",C57)))</f>
        <v>9971354.3</v>
      </c>
      <c r="I57" s="17"/>
      <c r="J57" s="18"/>
      <c r="K57" s="7" t="s">
        <v>96</v>
      </c>
      <c r="L57" s="24">
        <f>H57/1000000</f>
        <v>9.971354300000002</v>
      </c>
      <c r="M57" s="25"/>
      <c r="N57" s="26"/>
      <c r="O57" s="7" t="s">
        <v>142</v>
      </c>
      <c r="P57" s="7"/>
      <c r="Q57" s="7"/>
      <c r="R57" s="7"/>
      <c r="S57" s="8"/>
    </row>
    <row r="58" spans="1:19" ht="12.75">
      <c r="A58" s="9"/>
      <c r="B58" s="10" t="s">
        <v>87</v>
      </c>
      <c r="C58" s="10" t="s">
        <v>88</v>
      </c>
      <c r="D58" s="10" t="s">
        <v>120</v>
      </c>
      <c r="E58" s="8"/>
      <c r="G58" s="9"/>
      <c r="H58" s="19"/>
      <c r="I58" s="35">
        <f>VALUE(MID(D58,1,SEARCH(" ",D58)))</f>
        <v>8017109.2</v>
      </c>
      <c r="J58" s="21"/>
      <c r="K58" s="7"/>
      <c r="L58" s="27"/>
      <c r="M58" s="28">
        <f>I58/1000000</f>
        <v>8.0171092</v>
      </c>
      <c r="N58" s="29"/>
      <c r="O58" s="7"/>
      <c r="P58" s="7"/>
      <c r="Q58" s="7"/>
      <c r="R58" s="7"/>
      <c r="S58" s="8"/>
    </row>
    <row r="59" spans="1:19" ht="12.75">
      <c r="A59" s="9"/>
      <c r="B59" s="10" t="s">
        <v>90</v>
      </c>
      <c r="C59" s="10" t="s">
        <v>121</v>
      </c>
      <c r="D59" s="10" t="s">
        <v>122</v>
      </c>
      <c r="E59" s="11" t="s">
        <v>123</v>
      </c>
      <c r="G59" s="9"/>
      <c r="H59" s="22"/>
      <c r="I59" s="23"/>
      <c r="J59" s="37">
        <f>VALUE(MID(E59,1,SEARCH(" ",E59)))</f>
        <v>13834628</v>
      </c>
      <c r="K59" s="7"/>
      <c r="L59" s="30"/>
      <c r="M59" s="31"/>
      <c r="N59" s="32">
        <f>J59/1000000</f>
        <v>13.834628</v>
      </c>
      <c r="O59" s="7"/>
      <c r="P59" s="7"/>
      <c r="Q59" s="7"/>
      <c r="R59" s="7"/>
      <c r="S59" s="8"/>
    </row>
    <row r="60" spans="1:19" ht="13.5" thickBot="1">
      <c r="A60" s="9"/>
      <c r="B60" s="10" t="s">
        <v>94</v>
      </c>
      <c r="C60" s="7"/>
      <c r="D60" s="10" t="s">
        <v>124</v>
      </c>
      <c r="E60" s="8"/>
      <c r="G60" s="13" t="s">
        <v>94</v>
      </c>
      <c r="H60" s="15" t="str">
        <f>D60</f>
        <v>1.3874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</row>
    <row r="61" spans="1:5" ht="13.5" thickBot="1">
      <c r="A61" s="12" t="s">
        <v>97</v>
      </c>
      <c r="B61" s="7"/>
      <c r="C61" s="7"/>
      <c r="D61" s="7"/>
      <c r="E61" s="8"/>
    </row>
    <row r="62" spans="1:19" ht="12.75">
      <c r="A62" s="6" t="s">
        <v>125</v>
      </c>
      <c r="B62" s="7"/>
      <c r="C62" s="7"/>
      <c r="D62" s="7"/>
      <c r="E62" s="8"/>
      <c r="G62" s="3" t="s">
        <v>154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5"/>
    </row>
    <row r="63" spans="1:19" ht="12.75">
      <c r="A63" s="6" t="s">
        <v>74</v>
      </c>
      <c r="B63" s="7"/>
      <c r="C63" s="7"/>
      <c r="D63" s="7"/>
      <c r="E63" s="8"/>
      <c r="G63" s="9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8"/>
    </row>
    <row r="64" spans="1:19" ht="12.75">
      <c r="A64" s="9"/>
      <c r="B64" s="10" t="s">
        <v>75</v>
      </c>
      <c r="C64" s="10" t="s">
        <v>126</v>
      </c>
      <c r="D64" s="7"/>
      <c r="E64" s="8"/>
      <c r="G64" s="9" t="s">
        <v>137</v>
      </c>
      <c r="H64" s="28">
        <f>VALUE(MID(C64,1,SEARCH(" ",C64)))</f>
        <v>55.203058</v>
      </c>
      <c r="I64" s="7" t="s">
        <v>7</v>
      </c>
      <c r="J64" s="7"/>
      <c r="K64" s="7"/>
      <c r="L64" s="7"/>
      <c r="M64" s="7"/>
      <c r="N64" s="7"/>
      <c r="O64" s="7"/>
      <c r="P64" s="7" t="s">
        <v>1</v>
      </c>
      <c r="Q64" s="7">
        <f>200/H64</f>
        <v>3.622987697529365</v>
      </c>
      <c r="R64" s="7" t="s">
        <v>17</v>
      </c>
      <c r="S64" s="33" t="s">
        <v>148</v>
      </c>
    </row>
    <row r="65" spans="1:19" ht="12.75">
      <c r="A65" s="6" t="s">
        <v>77</v>
      </c>
      <c r="B65" s="7"/>
      <c r="C65" s="7"/>
      <c r="D65" s="7"/>
      <c r="E65" s="8"/>
      <c r="G65" s="9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8"/>
    </row>
    <row r="66" spans="1:19" ht="12.75">
      <c r="A66" s="9"/>
      <c r="B66" s="10" t="s">
        <v>78</v>
      </c>
      <c r="C66" s="10" t="s">
        <v>127</v>
      </c>
      <c r="D66" s="7"/>
      <c r="E66" s="8"/>
      <c r="G66" s="9" t="s">
        <v>138</v>
      </c>
      <c r="H66" s="28">
        <f>VALUE(MID(C66,1,SEARCH(" ",C66)))</f>
        <v>0.020769843</v>
      </c>
      <c r="I66" s="7" t="s">
        <v>8</v>
      </c>
      <c r="J66" s="20">
        <f>H66/100</f>
        <v>0.00020769843</v>
      </c>
      <c r="K66" s="7" t="s">
        <v>0</v>
      </c>
      <c r="L66" s="7"/>
      <c r="M66" s="7"/>
      <c r="N66" s="7"/>
      <c r="O66" s="7"/>
      <c r="P66" s="7" t="s">
        <v>6</v>
      </c>
      <c r="Q66" s="7">
        <f>2*SQRT(H64*Q64*H$2*L70*SIN(H$7)*COS(H$5))/N72</f>
        <v>0.3815279164029787</v>
      </c>
      <c r="R66" s="7" t="s">
        <v>147</v>
      </c>
      <c r="S66" s="33" t="s">
        <v>30</v>
      </c>
    </row>
    <row r="67" spans="1:19" ht="12.75">
      <c r="A67" s="9"/>
      <c r="B67" s="10" t="s">
        <v>80</v>
      </c>
      <c r="C67" s="10" t="s">
        <v>128</v>
      </c>
      <c r="D67" s="7"/>
      <c r="E67" s="8"/>
      <c r="G67" s="9" t="s">
        <v>139</v>
      </c>
      <c r="H67" s="28">
        <f>VALUE(MID(C67,1,SEARCH(" ",C67)))</f>
        <v>-0.0066876415</v>
      </c>
      <c r="I67" s="7" t="s">
        <v>8</v>
      </c>
      <c r="J67" s="20">
        <f>H67/100</f>
        <v>-6.6876415E-05</v>
      </c>
      <c r="K67" s="7" t="s">
        <v>0</v>
      </c>
      <c r="L67" s="7"/>
      <c r="M67" s="7"/>
      <c r="N67" s="7"/>
      <c r="O67" s="7"/>
      <c r="P67" s="7"/>
      <c r="Q67" s="7">
        <f>DEGREES(Q66)</f>
        <v>21.85993937631077</v>
      </c>
      <c r="R67" s="7" t="s">
        <v>149</v>
      </c>
      <c r="S67" s="8"/>
    </row>
    <row r="68" spans="1:19" ht="12.75">
      <c r="A68" s="9"/>
      <c r="B68" s="10" t="s">
        <v>82</v>
      </c>
      <c r="C68" s="10" t="s">
        <v>129</v>
      </c>
      <c r="D68" s="7"/>
      <c r="E68" s="8"/>
      <c r="G68" s="9" t="s">
        <v>140</v>
      </c>
      <c r="H68" s="28">
        <f>VALUE(MID(C68,1,SEARCH(" ",C68)))</f>
        <v>-16.10805</v>
      </c>
      <c r="I68" s="7" t="s">
        <v>8</v>
      </c>
      <c r="J68" s="20">
        <f>H68/100</f>
        <v>-0.1610805</v>
      </c>
      <c r="K68" s="7" t="s">
        <v>0</v>
      </c>
      <c r="L68" s="7"/>
      <c r="M68" s="7"/>
      <c r="N68" s="7"/>
      <c r="O68" s="7"/>
      <c r="P68" s="7"/>
      <c r="Q68" s="7">
        <f>Q67*60</f>
        <v>1311.5963625786462</v>
      </c>
      <c r="R68" s="7" t="s">
        <v>150</v>
      </c>
      <c r="S68" s="8"/>
    </row>
    <row r="69" spans="1:19" ht="12.75">
      <c r="A69" s="6" t="s">
        <v>84</v>
      </c>
      <c r="B69" s="7"/>
      <c r="C69" s="7"/>
      <c r="D69" s="7"/>
      <c r="E69" s="8"/>
      <c r="G69" s="9"/>
      <c r="H69" s="7"/>
      <c r="I69" s="7"/>
      <c r="J69" s="7"/>
      <c r="K69" s="7"/>
      <c r="L69" s="7"/>
      <c r="M69" s="7"/>
      <c r="N69" s="7"/>
      <c r="O69" s="7"/>
      <c r="P69" s="7"/>
      <c r="Q69" s="7">
        <f>Q68/360</f>
        <v>3.6433232293851283</v>
      </c>
      <c r="R69" s="7" t="s">
        <v>10</v>
      </c>
      <c r="S69" s="8"/>
    </row>
    <row r="70" spans="1:19" ht="12.75">
      <c r="A70" s="9"/>
      <c r="B70" s="10" t="s">
        <v>85</v>
      </c>
      <c r="C70" s="10" t="s">
        <v>130</v>
      </c>
      <c r="D70" s="7"/>
      <c r="E70" s="8"/>
      <c r="G70" s="9" t="s">
        <v>141</v>
      </c>
      <c r="H70" s="36">
        <f>VALUE(MID(C70,1,SEARCH(" ",C70)))</f>
        <v>8315474</v>
      </c>
      <c r="I70" s="17"/>
      <c r="J70" s="18"/>
      <c r="K70" s="7" t="s">
        <v>96</v>
      </c>
      <c r="L70" s="24">
        <f>H70/1000000</f>
        <v>8.315474</v>
      </c>
      <c r="M70" s="25"/>
      <c r="N70" s="26"/>
      <c r="O70" s="7" t="s">
        <v>142</v>
      </c>
      <c r="P70" s="7"/>
      <c r="Q70" s="7"/>
      <c r="R70" s="7"/>
      <c r="S70" s="8"/>
    </row>
    <row r="71" spans="1:19" ht="12.75">
      <c r="A71" s="9"/>
      <c r="B71" s="10" t="s">
        <v>87</v>
      </c>
      <c r="C71" s="10" t="s">
        <v>131</v>
      </c>
      <c r="D71" s="10" t="s">
        <v>132</v>
      </c>
      <c r="E71" s="8"/>
      <c r="G71" s="9"/>
      <c r="H71" s="19"/>
      <c r="I71" s="35">
        <f>VALUE(MID(D71,1,SEARCH(" ",D71)))</f>
        <v>6665880.4</v>
      </c>
      <c r="J71" s="21"/>
      <c r="K71" s="7"/>
      <c r="L71" s="27"/>
      <c r="M71" s="28">
        <f>I71/1000000</f>
        <v>6.665880400000001</v>
      </c>
      <c r="N71" s="29"/>
      <c r="O71" s="7"/>
      <c r="P71" s="7"/>
      <c r="Q71" s="7"/>
      <c r="R71" s="7"/>
      <c r="S71" s="8"/>
    </row>
    <row r="72" spans="1:19" ht="12.75">
      <c r="A72" s="9"/>
      <c r="B72" s="10" t="s">
        <v>90</v>
      </c>
      <c r="C72" s="10" t="s">
        <v>133</v>
      </c>
      <c r="D72" s="10" t="s">
        <v>134</v>
      </c>
      <c r="E72" s="11" t="s">
        <v>135</v>
      </c>
      <c r="G72" s="9"/>
      <c r="H72" s="22"/>
      <c r="I72" s="23"/>
      <c r="J72" s="37">
        <f>VALUE(MID(E72,1,SEARCH(" ",E72)))</f>
        <v>12187035</v>
      </c>
      <c r="K72" s="7"/>
      <c r="L72" s="30"/>
      <c r="M72" s="31"/>
      <c r="N72" s="32">
        <f>J72/1000000</f>
        <v>12.187035</v>
      </c>
      <c r="O72" s="7"/>
      <c r="P72" s="7"/>
      <c r="Q72" s="7"/>
      <c r="R72" s="7"/>
      <c r="S72" s="8"/>
    </row>
    <row r="73" spans="1:19" ht="13.5" thickBot="1">
      <c r="A73" s="13"/>
      <c r="B73" s="14" t="s">
        <v>94</v>
      </c>
      <c r="C73" s="15"/>
      <c r="D73" s="14" t="s">
        <v>136</v>
      </c>
      <c r="E73" s="16"/>
      <c r="G73" s="13" t="s">
        <v>94</v>
      </c>
      <c r="H73" s="15" t="str">
        <f>D73</f>
        <v>1.4656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6"/>
    </row>
  </sheetData>
  <conditionalFormatting sqref="H2:H4 H6">
    <cfRule type="expression" priority="1" dxfId="0" stopIfTrue="1">
      <formula>$C$4</formula>
    </cfRule>
  </conditionalFormatting>
  <printOptions/>
  <pageMargins left="0.75" right="0.75" top="1" bottom="1" header="0.5" footer="0.5"/>
  <pageSetup fitToHeight="1" fitToWidth="1" orientation="landscape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1">
      <selection activeCell="I10" sqref="I10"/>
    </sheetView>
  </sheetViews>
  <sheetFormatPr defaultColWidth="9.140625" defaultRowHeight="12.75"/>
  <cols>
    <col min="1" max="2" width="13.7109375" style="0" customWidth="1"/>
    <col min="3" max="3" width="16.7109375" style="0" customWidth="1"/>
    <col min="4" max="4" width="10.7109375" style="0" customWidth="1"/>
    <col min="5" max="5" width="8.7109375" style="0" customWidth="1"/>
    <col min="6" max="6" width="14.7109375" style="0" customWidth="1"/>
    <col min="7" max="7" width="3.7109375" style="0" customWidth="1"/>
    <col min="8" max="8" width="15.7109375" style="0" customWidth="1"/>
    <col min="9" max="10" width="8.7109375" style="0" customWidth="1"/>
    <col min="11" max="11" width="11.7109375" style="0" customWidth="1"/>
  </cols>
  <sheetData>
    <row r="1" spans="1:11" s="61" customFormat="1" ht="15.75" customHeight="1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ht="13.5" thickBot="1">
      <c r="A2" s="9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s="65" customFormat="1" ht="15.75" customHeight="1" thickBot="1">
      <c r="A3" s="62" t="s">
        <v>163</v>
      </c>
      <c r="B3" s="63" t="s">
        <v>33</v>
      </c>
      <c r="C3" s="63" t="s">
        <v>70</v>
      </c>
      <c r="D3" s="63" t="s">
        <v>162</v>
      </c>
      <c r="E3" s="63" t="s">
        <v>164</v>
      </c>
      <c r="F3" s="63" t="s">
        <v>34</v>
      </c>
      <c r="G3" s="64"/>
      <c r="H3" s="62" t="s">
        <v>163</v>
      </c>
      <c r="I3" s="63" t="s">
        <v>33</v>
      </c>
      <c r="J3" s="63" t="s">
        <v>164</v>
      </c>
      <c r="K3" s="63" t="s">
        <v>34</v>
      </c>
    </row>
    <row r="4" spans="1:11" s="65" customFormat="1" ht="18" customHeight="1" thickBot="1">
      <c r="A4" s="66" t="s">
        <v>62</v>
      </c>
      <c r="B4" s="67" t="s">
        <v>47</v>
      </c>
      <c r="C4" s="67" t="s">
        <v>71</v>
      </c>
      <c r="D4" s="68">
        <f>80*(1-0.6)</f>
        <v>32</v>
      </c>
      <c r="E4" s="69" t="s">
        <v>48</v>
      </c>
      <c r="F4" s="67"/>
      <c r="G4" s="64"/>
      <c r="H4" s="70" t="s">
        <v>57</v>
      </c>
      <c r="I4" s="70"/>
      <c r="J4" s="70"/>
      <c r="K4" s="70" t="s">
        <v>67</v>
      </c>
    </row>
    <row r="5" spans="1:11" s="65" customFormat="1" ht="18" customHeight="1" thickBot="1">
      <c r="A5" s="66" t="s">
        <v>63</v>
      </c>
      <c r="B5" s="67" t="s">
        <v>47</v>
      </c>
      <c r="C5" s="67" t="s">
        <v>72</v>
      </c>
      <c r="D5" s="68">
        <f>50*(1-0.75)</f>
        <v>12.5</v>
      </c>
      <c r="E5" s="69" t="s">
        <v>49</v>
      </c>
      <c r="F5" s="67"/>
      <c r="G5" s="64"/>
      <c r="H5" s="70" t="s">
        <v>58</v>
      </c>
      <c r="I5" s="70"/>
      <c r="J5" s="70"/>
      <c r="K5" s="70"/>
    </row>
    <row r="6" spans="1:11" s="65" customFormat="1" ht="18" customHeight="1" thickBot="1">
      <c r="A6" s="66" t="s">
        <v>45</v>
      </c>
      <c r="B6" s="67" t="s">
        <v>47</v>
      </c>
      <c r="C6" s="67"/>
      <c r="D6" s="68">
        <v>7</v>
      </c>
      <c r="E6" s="67" t="s">
        <v>50</v>
      </c>
      <c r="F6" s="67"/>
      <c r="G6" s="64"/>
      <c r="H6" s="66" t="s">
        <v>43</v>
      </c>
      <c r="I6" s="67"/>
      <c r="J6" s="67"/>
      <c r="K6" s="67" t="s">
        <v>41</v>
      </c>
    </row>
    <row r="7" spans="1:11" s="65" customFormat="1" ht="18" customHeight="1" thickBot="1">
      <c r="A7" s="66" t="s">
        <v>46</v>
      </c>
      <c r="B7" s="67" t="s">
        <v>47</v>
      </c>
      <c r="C7" s="67"/>
      <c r="D7" s="68">
        <v>7</v>
      </c>
      <c r="E7" s="67" t="s">
        <v>50</v>
      </c>
      <c r="F7" s="67"/>
      <c r="G7" s="64"/>
      <c r="H7" s="66" t="s">
        <v>44</v>
      </c>
      <c r="I7" s="67"/>
      <c r="J7" s="67"/>
      <c r="K7" s="67" t="s">
        <v>40</v>
      </c>
    </row>
    <row r="8" spans="1:11" s="65" customFormat="1" ht="18" customHeight="1" thickBot="1">
      <c r="A8" s="66" t="s">
        <v>35</v>
      </c>
      <c r="B8" s="67" t="s">
        <v>36</v>
      </c>
      <c r="C8" s="67"/>
      <c r="D8" s="68"/>
      <c r="E8" s="67" t="s">
        <v>37</v>
      </c>
      <c r="F8" s="67"/>
      <c r="G8" s="64"/>
      <c r="H8" s="64"/>
      <c r="I8" s="64"/>
      <c r="J8" s="64"/>
      <c r="K8" s="71"/>
    </row>
    <row r="9" spans="1:11" s="65" customFormat="1" ht="18" customHeight="1" thickBot="1">
      <c r="A9" s="66" t="s">
        <v>51</v>
      </c>
      <c r="B9" s="67" t="s">
        <v>36</v>
      </c>
      <c r="C9" s="67"/>
      <c r="D9" s="68"/>
      <c r="E9" s="67" t="s">
        <v>37</v>
      </c>
      <c r="F9" s="67" t="s">
        <v>38</v>
      </c>
      <c r="G9" s="64"/>
      <c r="H9" s="64"/>
      <c r="I9" s="64"/>
      <c r="J9" s="64"/>
      <c r="K9" s="71"/>
    </row>
    <row r="10" spans="1:11" s="65" customFormat="1" ht="18" customHeight="1" thickBot="1">
      <c r="A10" s="66" t="s">
        <v>52</v>
      </c>
      <c r="B10" s="67" t="s">
        <v>36</v>
      </c>
      <c r="C10" s="67"/>
      <c r="D10" s="68"/>
      <c r="E10" s="67" t="s">
        <v>37</v>
      </c>
      <c r="F10" s="67"/>
      <c r="G10" s="64"/>
      <c r="H10" s="64"/>
      <c r="I10" s="64"/>
      <c r="J10" s="64"/>
      <c r="K10" s="71"/>
    </row>
    <row r="11" spans="1:11" s="65" customFormat="1" ht="18" customHeight="1" thickBot="1">
      <c r="A11" s="66" t="s">
        <v>39</v>
      </c>
      <c r="B11" s="67" t="s">
        <v>53</v>
      </c>
      <c r="C11" s="67"/>
      <c r="D11" s="68"/>
      <c r="E11" s="67" t="s">
        <v>37</v>
      </c>
      <c r="F11" s="67" t="s">
        <v>40</v>
      </c>
      <c r="G11" s="64"/>
      <c r="H11" s="64"/>
      <c r="I11" s="64"/>
      <c r="J11" s="64"/>
      <c r="K11" s="71"/>
    </row>
    <row r="12" spans="1:11" s="65" customFormat="1" ht="18" customHeight="1" thickBot="1">
      <c r="A12" s="66" t="s">
        <v>55</v>
      </c>
      <c r="B12" s="67" t="s">
        <v>36</v>
      </c>
      <c r="C12" s="67"/>
      <c r="D12" s="68"/>
      <c r="E12" s="67" t="s">
        <v>37</v>
      </c>
      <c r="F12" s="67" t="s">
        <v>54</v>
      </c>
      <c r="G12" s="64"/>
      <c r="H12" s="64"/>
      <c r="I12" s="64"/>
      <c r="J12" s="64"/>
      <c r="K12" s="71"/>
    </row>
    <row r="13" spans="1:11" s="65" customFormat="1" ht="18" customHeight="1" thickBot="1">
      <c r="A13" s="66" t="s">
        <v>60</v>
      </c>
      <c r="B13" s="67" t="s">
        <v>36</v>
      </c>
      <c r="C13" s="67"/>
      <c r="D13" s="68"/>
      <c r="E13" s="67" t="s">
        <v>37</v>
      </c>
      <c r="F13" s="67"/>
      <c r="G13" s="64"/>
      <c r="H13" s="64"/>
      <c r="I13" s="64"/>
      <c r="J13" s="64"/>
      <c r="K13" s="71"/>
    </row>
    <row r="14" spans="1:11" s="65" customFormat="1" ht="18" customHeight="1" thickBot="1">
      <c r="A14" s="66" t="s">
        <v>42</v>
      </c>
      <c r="B14" s="67" t="s">
        <v>36</v>
      </c>
      <c r="C14" s="67"/>
      <c r="D14" s="68"/>
      <c r="E14" s="67" t="s">
        <v>37</v>
      </c>
      <c r="F14" s="67"/>
      <c r="G14" s="64"/>
      <c r="H14" s="64"/>
      <c r="I14" s="64"/>
      <c r="J14" s="64"/>
      <c r="K14" s="71"/>
    </row>
    <row r="15" spans="1:11" s="65" customFormat="1" ht="18" customHeight="1" thickBot="1">
      <c r="A15" s="66" t="s">
        <v>56</v>
      </c>
      <c r="B15" s="67" t="s">
        <v>53</v>
      </c>
      <c r="C15" s="67"/>
      <c r="D15" s="68"/>
      <c r="E15" s="67" t="s">
        <v>37</v>
      </c>
      <c r="F15" s="67"/>
      <c r="G15" s="64"/>
      <c r="H15" s="64"/>
      <c r="I15" s="64"/>
      <c r="J15" s="64"/>
      <c r="K15" s="71"/>
    </row>
    <row r="16" spans="1:11" s="65" customFormat="1" ht="18" customHeight="1" thickBot="1">
      <c r="A16" s="66" t="s">
        <v>61</v>
      </c>
      <c r="B16" s="67" t="s">
        <v>53</v>
      </c>
      <c r="C16" s="67"/>
      <c r="D16" s="68"/>
      <c r="E16" s="67" t="s">
        <v>37</v>
      </c>
      <c r="F16" s="67" t="s">
        <v>59</v>
      </c>
      <c r="G16" s="64"/>
      <c r="H16" s="64"/>
      <c r="I16" s="64"/>
      <c r="J16" s="64"/>
      <c r="K16" s="71"/>
    </row>
    <row r="17" spans="1:11" s="65" customFormat="1" ht="18" customHeight="1" thickBot="1">
      <c r="A17" s="66" t="s">
        <v>64</v>
      </c>
      <c r="B17" s="67" t="s">
        <v>53</v>
      </c>
      <c r="C17" s="67"/>
      <c r="D17" s="68"/>
      <c r="E17" s="67" t="s">
        <v>37</v>
      </c>
      <c r="F17" s="67"/>
      <c r="G17" s="64"/>
      <c r="H17" s="64"/>
      <c r="I17" s="64"/>
      <c r="J17" s="64"/>
      <c r="K17" s="71"/>
    </row>
    <row r="18" spans="1:11" s="65" customFormat="1" ht="18" customHeight="1" thickBot="1">
      <c r="A18" s="66" t="s">
        <v>65</v>
      </c>
      <c r="B18" s="67" t="s">
        <v>53</v>
      </c>
      <c r="C18" s="67"/>
      <c r="D18" s="68"/>
      <c r="E18" s="67" t="s">
        <v>37</v>
      </c>
      <c r="F18" s="67"/>
      <c r="G18" s="64"/>
      <c r="H18" s="64"/>
      <c r="I18" s="64"/>
      <c r="J18" s="64"/>
      <c r="K18" s="71"/>
    </row>
    <row r="19" spans="1:11" s="65" customFormat="1" ht="18" customHeight="1" thickBot="1">
      <c r="A19" s="66" t="s">
        <v>66</v>
      </c>
      <c r="B19" s="67" t="s">
        <v>53</v>
      </c>
      <c r="C19" s="67"/>
      <c r="D19" s="68"/>
      <c r="E19" s="67" t="s">
        <v>37</v>
      </c>
      <c r="F19" s="67"/>
      <c r="G19" s="64"/>
      <c r="H19" s="64"/>
      <c r="I19" s="64"/>
      <c r="J19" s="64"/>
      <c r="K19" s="71"/>
    </row>
    <row r="20" spans="1:11" ht="12.75">
      <c r="A20" s="9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ht="12.75">
      <c r="A21" s="9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ht="12.75">
      <c r="A22" s="9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ht="12.75">
      <c r="A23" s="9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ht="12.75">
      <c r="A24" s="9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ht="12.75">
      <c r="A25" s="9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ht="12.75">
      <c r="A26" s="9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ht="12.75">
      <c r="A27" s="9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ht="12.75">
      <c r="A28" s="9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ht="12.75">
      <c r="A29" s="9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8"/>
    </row>
    <row r="32" spans="1:11" ht="12.75">
      <c r="A32" s="9"/>
      <c r="B32" s="7"/>
      <c r="C32" s="7"/>
      <c r="D32" s="7"/>
      <c r="E32" s="7"/>
      <c r="F32" s="7"/>
      <c r="G32" s="7"/>
      <c r="H32" s="7"/>
      <c r="I32" s="7"/>
      <c r="J32" s="7"/>
      <c r="K32" s="8"/>
    </row>
    <row r="33" spans="1:11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8"/>
    </row>
    <row r="34" spans="1:11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8"/>
    </row>
    <row r="35" spans="1:11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8"/>
    </row>
    <row r="36" spans="1:11" ht="13.5" thickBot="1">
      <c r="A36" s="13"/>
      <c r="B36" s="15"/>
      <c r="C36" s="15"/>
      <c r="D36" s="15"/>
      <c r="E36" s="15"/>
      <c r="F36" s="15"/>
      <c r="G36" s="15"/>
      <c r="H36" s="15"/>
      <c r="I36" s="15"/>
      <c r="J36" s="15"/>
      <c r="K36" s="16"/>
    </row>
  </sheetData>
  <printOptions horizontalCentered="1" verticalCentered="1"/>
  <pageMargins left="0.25" right="0.25" top="0.75" bottom="0.5" header="0.5" footer="0.5"/>
  <pageSetup fitToHeight="1" fitToWidth="1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Davis</dc:creator>
  <cp:keywords/>
  <dc:description/>
  <cp:lastModifiedBy>Dick Jansson</cp:lastModifiedBy>
  <cp:lastPrinted>2006-10-22T17:21:41Z</cp:lastPrinted>
  <dcterms:created xsi:type="dcterms:W3CDTF">2006-10-18T14:37:53Z</dcterms:created>
  <dcterms:modified xsi:type="dcterms:W3CDTF">2006-10-22T17:24:57Z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707925834</vt:i4>
  </property>
  <property fmtid="{D5CDD505-2E9C-101B-9397-08002B2CF9AE}" pid="4" name="_EmailSubje">
    <vt:lpwstr>Modules</vt:lpwstr>
  </property>
  <property fmtid="{D5CDD505-2E9C-101B-9397-08002B2CF9AE}" pid="5" name="_AuthorEma">
    <vt:lpwstr>rjansson@cfl.rr.com</vt:lpwstr>
  </property>
  <property fmtid="{D5CDD505-2E9C-101B-9397-08002B2CF9AE}" pid="6" name="_AuthorEmailDisplayNa">
    <vt:lpwstr>Dick Jansson-rr</vt:lpwstr>
  </property>
</Properties>
</file>